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TTDK" sheetId="1" r:id="rId1"/>
    <sheet name="Xang dau Bac Vinh" sheetId="4" r:id="rId2"/>
    <sheet name="Tram Dung Nghi" sheetId="6" r:id="rId3"/>
    <sheet name="Xang dau Tram Dung nghi" sheetId="7" r:id="rId4"/>
    <sheet name="KS Nam Vinh" sheetId="9" r:id="rId5"/>
    <sheet name="Bxe Nam Vinh" sheetId="10" r:id="rId6"/>
  </sheets>
  <definedNames>
    <definedName name="_xlnm.Print_Area" localSheetId="5">'Bxe Nam Vinh'!$A$1:$M$323</definedName>
    <definedName name="_xlnm.Print_Area" localSheetId="4">'KS Nam Vinh'!$A$1:$H$332</definedName>
    <definedName name="_xlnm.Print_Area" localSheetId="0">TTDK!$A$1:$H$334</definedName>
    <definedName name="_xlnm.Print_Area" localSheetId="2">'Tram Dung Nghi'!$A$1:$J$341</definedName>
    <definedName name="_xlnm.Print_Area" localSheetId="1">'Xang dau Bac Vinh'!$A$1:$H$271</definedName>
    <definedName name="_xlnm.Print_Area" localSheetId="3">'Xang dau Tram Dung nghi'!$A$1:$H$276</definedName>
  </definedNames>
  <calcPr calcId="124519"/>
</workbook>
</file>

<file path=xl/calcChain.xml><?xml version="1.0" encoding="utf-8"?>
<calcChain xmlns="http://schemas.openxmlformats.org/spreadsheetml/2006/main">
  <c r="H172" i="10"/>
  <c r="G172"/>
  <c r="D329" i="1"/>
  <c r="E319"/>
  <c r="E257" i="4"/>
  <c r="D335" i="6"/>
  <c r="E325"/>
  <c r="E261" i="7"/>
  <c r="D317" i="10"/>
  <c r="E306"/>
  <c r="C273"/>
  <c r="C274"/>
  <c r="C275"/>
  <c r="C276"/>
  <c r="C272"/>
  <c r="C263"/>
  <c r="C264"/>
  <c r="C265"/>
  <c r="C266"/>
  <c r="C262"/>
  <c r="C253"/>
  <c r="C254"/>
  <c r="C255"/>
  <c r="C256"/>
  <c r="C252"/>
  <c r="C243"/>
  <c r="C244"/>
  <c r="C245"/>
  <c r="C246"/>
  <c r="C242"/>
  <c r="D236"/>
  <c r="D50" i="9"/>
  <c r="D42"/>
  <c r="H92" i="6" l="1"/>
  <c r="G92"/>
  <c r="E92"/>
  <c r="D92"/>
  <c r="C254" i="9"/>
  <c r="C255"/>
  <c r="C256"/>
  <c r="C253"/>
  <c r="C263"/>
  <c r="C272" s="1"/>
  <c r="C281" s="1"/>
  <c r="C264"/>
  <c r="C273" s="1"/>
  <c r="C282" s="1"/>
  <c r="C265"/>
  <c r="C262"/>
  <c r="C271" s="1"/>
  <c r="C280" s="1"/>
  <c r="C274"/>
  <c r="C283" s="1"/>
  <c r="C204" i="7"/>
  <c r="C213" s="1"/>
  <c r="C222" s="1"/>
  <c r="C231" s="1"/>
  <c r="C205"/>
  <c r="C214" s="1"/>
  <c r="C223" s="1"/>
  <c r="C232" s="1"/>
  <c r="C206"/>
  <c r="C215" s="1"/>
  <c r="C224" s="1"/>
  <c r="C233" s="1"/>
  <c r="C203"/>
  <c r="C212" s="1"/>
  <c r="C221" s="1"/>
  <c r="C230" s="1"/>
  <c r="C295" i="6"/>
  <c r="C296"/>
  <c r="C297"/>
  <c r="C294"/>
  <c r="C286"/>
  <c r="C287"/>
  <c r="C288"/>
  <c r="C285"/>
  <c r="C277"/>
  <c r="C278"/>
  <c r="C279"/>
  <c r="C276"/>
  <c r="C268"/>
  <c r="C269"/>
  <c r="C270"/>
  <c r="C267"/>
  <c r="D154"/>
  <c r="E159"/>
  <c r="D159"/>
  <c r="F158"/>
  <c r="G158" s="1"/>
  <c r="H158" s="1"/>
  <c r="E158"/>
  <c r="D158"/>
  <c r="E154"/>
  <c r="F153"/>
  <c r="G153" s="1"/>
  <c r="H153" s="1"/>
  <c r="E153"/>
  <c r="D153"/>
  <c r="E149"/>
  <c r="D149"/>
  <c r="F148"/>
  <c r="G148" s="1"/>
  <c r="H148" s="1"/>
  <c r="E148"/>
  <c r="D148"/>
  <c r="E144"/>
  <c r="D144"/>
  <c r="F143"/>
  <c r="G143" s="1"/>
  <c r="H143" s="1"/>
  <c r="E143"/>
  <c r="D143"/>
  <c r="E139"/>
  <c r="D139"/>
  <c r="F138"/>
  <c r="G138" s="1"/>
  <c r="H138" s="1"/>
  <c r="E138"/>
  <c r="D138"/>
  <c r="E134"/>
  <c r="D134"/>
  <c r="F133"/>
  <c r="G133" s="1"/>
  <c r="H133" s="1"/>
  <c r="E133"/>
  <c r="D133"/>
  <c r="G121"/>
  <c r="H121" s="1"/>
  <c r="F121"/>
  <c r="E121"/>
  <c r="D121"/>
  <c r="D116"/>
  <c r="E116" s="1"/>
  <c r="F116" s="1"/>
  <c r="G116" s="1"/>
  <c r="H116" s="1"/>
  <c r="D111"/>
  <c r="E111" s="1"/>
  <c r="F111" s="1"/>
  <c r="G111" s="1"/>
  <c r="H111" s="1"/>
  <c r="D106"/>
  <c r="E106" s="1"/>
  <c r="F106" s="1"/>
  <c r="G106" s="1"/>
  <c r="H106" s="1"/>
  <c r="F101"/>
  <c r="G101" s="1"/>
  <c r="H101" s="1"/>
  <c r="E101"/>
  <c r="D101"/>
  <c r="F96"/>
  <c r="G96"/>
  <c r="H96" s="1"/>
  <c r="E96"/>
  <c r="D96"/>
  <c r="F83"/>
  <c r="G83"/>
  <c r="H83" s="1"/>
  <c r="E83"/>
  <c r="F78"/>
  <c r="G78"/>
  <c r="H78" s="1"/>
  <c r="E78"/>
  <c r="F73"/>
  <c r="G73" s="1"/>
  <c r="H73" s="1"/>
  <c r="E73"/>
  <c r="F68"/>
  <c r="G68" s="1"/>
  <c r="H68" s="1"/>
  <c r="E68"/>
  <c r="F63"/>
  <c r="G63"/>
  <c r="H63" s="1"/>
  <c r="E63"/>
  <c r="F58"/>
  <c r="G58"/>
  <c r="H58" s="1"/>
  <c r="E58"/>
  <c r="F120"/>
  <c r="G120" s="1"/>
  <c r="H120" s="1"/>
  <c r="E120"/>
  <c r="D120"/>
  <c r="F115"/>
  <c r="G115"/>
  <c r="H115" s="1"/>
  <c r="E115"/>
  <c r="D115"/>
  <c r="F110"/>
  <c r="G110" s="1"/>
  <c r="H110" s="1"/>
  <c r="E110"/>
  <c r="D110"/>
  <c r="G72"/>
  <c r="H72"/>
  <c r="G67"/>
  <c r="H67"/>
  <c r="D105" s="1"/>
  <c r="F100"/>
  <c r="G100" s="1"/>
  <c r="H100" s="1"/>
  <c r="E100"/>
  <c r="D100"/>
  <c r="F95"/>
  <c r="G95"/>
  <c r="H95" s="1"/>
  <c r="E95"/>
  <c r="D95"/>
  <c r="G82"/>
  <c r="H82"/>
  <c r="F82"/>
  <c r="E82"/>
  <c r="G77"/>
  <c r="H77"/>
  <c r="F77"/>
  <c r="E77"/>
  <c r="F72"/>
  <c r="E72"/>
  <c r="F67"/>
  <c r="E67"/>
  <c r="G62"/>
  <c r="H62" s="1"/>
  <c r="F62"/>
  <c r="E62"/>
  <c r="G57"/>
  <c r="H57"/>
  <c r="F57"/>
  <c r="E57"/>
  <c r="G195" i="4"/>
  <c r="H195"/>
  <c r="I119" i="1"/>
  <c r="D119" s="1"/>
  <c r="E119" s="1"/>
  <c r="F119" s="1"/>
  <c r="G119" s="1"/>
  <c r="H119" s="1"/>
  <c r="I104"/>
  <c r="D58"/>
  <c r="D57"/>
  <c r="D53"/>
  <c r="D52"/>
  <c r="D96" s="1"/>
  <c r="D104"/>
  <c r="E104" s="1"/>
  <c r="F104" s="1"/>
  <c r="G104" s="1"/>
  <c r="H104" s="1"/>
  <c r="E89"/>
  <c r="E90" s="1"/>
  <c r="D89"/>
  <c r="D90" s="1"/>
  <c r="I111"/>
  <c r="I97"/>
  <c r="I98"/>
  <c r="I100"/>
  <c r="I101"/>
  <c r="I102"/>
  <c r="I103"/>
  <c r="I96"/>
  <c r="D50"/>
  <c r="D59" s="1"/>
  <c r="Q258" i="6"/>
  <c r="Q198" i="7"/>
  <c r="L247" i="9"/>
  <c r="L243"/>
  <c r="H276" i="10"/>
  <c r="E276"/>
  <c r="E275"/>
  <c r="E274"/>
  <c r="H273"/>
  <c r="E273"/>
  <c r="E272"/>
  <c r="E266"/>
  <c r="E265"/>
  <c r="E264"/>
  <c r="E263"/>
  <c r="E262"/>
  <c r="P245"/>
  <c r="P244"/>
  <c r="P243"/>
  <c r="P242"/>
  <c r="P241"/>
  <c r="P240"/>
  <c r="P239"/>
  <c r="P238"/>
  <c r="P237"/>
  <c r="P236"/>
  <c r="P235"/>
  <c r="P234"/>
  <c r="P233"/>
  <c r="P232"/>
  <c r="P231"/>
  <c r="P246"/>
  <c r="I218"/>
  <c r="J218"/>
  <c r="K218"/>
  <c r="L218"/>
  <c r="M218"/>
  <c r="I219"/>
  <c r="J219"/>
  <c r="K219"/>
  <c r="L219"/>
  <c r="M219"/>
  <c r="E177"/>
  <c r="F177" s="1"/>
  <c r="G177" s="1"/>
  <c r="H177" s="1"/>
  <c r="D182" s="1"/>
  <c r="E182" s="1"/>
  <c r="F182" s="1"/>
  <c r="G182" s="1"/>
  <c r="H182" s="1"/>
  <c r="D187" s="1"/>
  <c r="E75"/>
  <c r="F75" s="1"/>
  <c r="G75" s="1"/>
  <c r="H75" s="1"/>
  <c r="D88" s="1"/>
  <c r="E88" s="1"/>
  <c r="F88" s="1"/>
  <c r="G88" s="1"/>
  <c r="H88" s="1"/>
  <c r="D101" s="1"/>
  <c r="E101" s="1"/>
  <c r="F101" s="1"/>
  <c r="G101" s="1"/>
  <c r="H101" s="1"/>
  <c r="E37"/>
  <c r="F37" s="1"/>
  <c r="G37" s="1"/>
  <c r="H37" s="1"/>
  <c r="D49" s="1"/>
  <c r="E49" s="1"/>
  <c r="F49" s="1"/>
  <c r="G49" s="1"/>
  <c r="H49" s="1"/>
  <c r="D61" s="1"/>
  <c r="E61" s="1"/>
  <c r="F61" s="1"/>
  <c r="G61" s="1"/>
  <c r="H61" s="1"/>
  <c r="L246" i="9"/>
  <c r="L245"/>
  <c r="L244"/>
  <c r="L249"/>
  <c r="E177"/>
  <c r="F177" s="1"/>
  <c r="G177" s="1"/>
  <c r="H177" s="1"/>
  <c r="D182" s="1"/>
  <c r="E182" s="1"/>
  <c r="F182" s="1"/>
  <c r="G182" s="1"/>
  <c r="H182" s="1"/>
  <c r="D187" s="1"/>
  <c r="E187" s="1"/>
  <c r="F187" s="1"/>
  <c r="G187" s="1"/>
  <c r="H187" s="1"/>
  <c r="E163"/>
  <c r="F163" s="1"/>
  <c r="G163" s="1"/>
  <c r="H163"/>
  <c r="Q197" i="7"/>
  <c r="Q196"/>
  <c r="Q195"/>
  <c r="Q194"/>
  <c r="D200" i="1"/>
  <c r="D192" i="4"/>
  <c r="D259" i="6"/>
  <c r="Q271"/>
  <c r="Q270"/>
  <c r="Q269"/>
  <c r="Q268"/>
  <c r="Q267"/>
  <c r="Q266"/>
  <c r="Q265"/>
  <c r="Q264"/>
  <c r="Q263"/>
  <c r="Q262"/>
  <c r="Q261"/>
  <c r="Q260"/>
  <c r="Q259"/>
  <c r="K199" i="4"/>
  <c r="K198"/>
  <c r="K197"/>
  <c r="K196"/>
  <c r="K195"/>
  <c r="K194"/>
  <c r="K193"/>
  <c r="K192"/>
  <c r="K191"/>
  <c r="N207" i="1"/>
  <c r="N206"/>
  <c r="N205"/>
  <c r="N204"/>
  <c r="N203"/>
  <c r="N202"/>
  <c r="N201"/>
  <c r="N200"/>
  <c r="N199"/>
  <c r="L193"/>
  <c r="K195"/>
  <c r="K194"/>
  <c r="E50" i="9"/>
  <c r="F50" s="1"/>
  <c r="G50" s="1"/>
  <c r="F134" i="6" l="1"/>
  <c r="F139"/>
  <c r="G139" s="1"/>
  <c r="H139" s="1"/>
  <c r="F144"/>
  <c r="G144" s="1"/>
  <c r="H144" s="1"/>
  <c r="F149"/>
  <c r="G149" s="1"/>
  <c r="H149" s="1"/>
  <c r="F154"/>
  <c r="G154" s="1"/>
  <c r="H154" s="1"/>
  <c r="F159"/>
  <c r="G159" s="1"/>
  <c r="H159" s="1"/>
  <c r="F89" i="1"/>
  <c r="D103"/>
  <c r="D56"/>
  <c r="D54"/>
  <c r="I116"/>
  <c r="I117"/>
  <c r="I112"/>
  <c r="D97"/>
  <c r="D102"/>
  <c r="I118"/>
  <c r="I113"/>
  <c r="D101"/>
  <c r="I115"/>
  <c r="E187" i="10"/>
  <c r="F187" s="1"/>
  <c r="G187" s="1"/>
  <c r="H187" s="1"/>
  <c r="G134" i="6" l="1"/>
  <c r="G89" i="1"/>
  <c r="F90"/>
  <c r="D98"/>
  <c r="D100"/>
  <c r="D105" s="1"/>
  <c r="I157" i="7"/>
  <c r="J157"/>
  <c r="K157"/>
  <c r="L157"/>
  <c r="M157"/>
  <c r="I158"/>
  <c r="J158"/>
  <c r="K158"/>
  <c r="L158"/>
  <c r="M158"/>
  <c r="I159"/>
  <c r="J159"/>
  <c r="K159"/>
  <c r="L159"/>
  <c r="M159"/>
  <c r="I160"/>
  <c r="J160"/>
  <c r="K160"/>
  <c r="L160"/>
  <c r="M160"/>
  <c r="I161"/>
  <c r="J161"/>
  <c r="K161"/>
  <c r="L161"/>
  <c r="M161"/>
  <c r="I162"/>
  <c r="J162"/>
  <c r="K162"/>
  <c r="L162"/>
  <c r="M162"/>
  <c r="E133"/>
  <c r="F133" s="1"/>
  <c r="G133" s="1"/>
  <c r="H133" s="1"/>
  <c r="D138" s="1"/>
  <c r="E138" s="1"/>
  <c r="F138" s="1"/>
  <c r="G138" s="1"/>
  <c r="H138" s="1"/>
  <c r="D143" s="1"/>
  <c r="E143" s="1"/>
  <c r="E58"/>
  <c r="F58" s="1"/>
  <c r="G58" s="1"/>
  <c r="H58" s="1"/>
  <c r="D67" s="1"/>
  <c r="E67" s="1"/>
  <c r="F67" s="1"/>
  <c r="G67" s="1"/>
  <c r="H67" s="1"/>
  <c r="D76" s="1"/>
  <c r="E76" s="1"/>
  <c r="F76" s="1"/>
  <c r="G76" s="1"/>
  <c r="H76" s="1"/>
  <c r="E32"/>
  <c r="F32" s="1"/>
  <c r="G32" s="1"/>
  <c r="H32" s="1"/>
  <c r="D40" s="1"/>
  <c r="E40" s="1"/>
  <c r="F40" s="1"/>
  <c r="G40" s="1"/>
  <c r="H40" s="1"/>
  <c r="D48" s="1"/>
  <c r="E48" s="1"/>
  <c r="F48" s="1"/>
  <c r="G48" s="1"/>
  <c r="H48" s="1"/>
  <c r="D258" i="6"/>
  <c r="D267" s="1"/>
  <c r="E177"/>
  <c r="F177" s="1"/>
  <c r="G177" s="1"/>
  <c r="H177"/>
  <c r="E188"/>
  <c r="F188" s="1"/>
  <c r="G188" s="1"/>
  <c r="H188" s="1"/>
  <c r="D193" s="1"/>
  <c r="E193" s="1"/>
  <c r="F193" s="1"/>
  <c r="G193" s="1"/>
  <c r="H193" s="1"/>
  <c r="D198" s="1"/>
  <c r="E198" s="1"/>
  <c r="D268" i="4"/>
  <c r="E268" s="1"/>
  <c r="D258"/>
  <c r="E258" s="1"/>
  <c r="F258" s="1"/>
  <c r="G258" s="1"/>
  <c r="H258" s="1"/>
  <c r="D159" i="1"/>
  <c r="E159" s="1"/>
  <c r="E158"/>
  <c r="F158" s="1"/>
  <c r="G158" s="1"/>
  <c r="H158" s="1"/>
  <c r="D158"/>
  <c r="D160" s="1"/>
  <c r="E160" s="1"/>
  <c r="F155"/>
  <c r="G155" s="1"/>
  <c r="H155" s="1"/>
  <c r="E155"/>
  <c r="D155"/>
  <c r="F154"/>
  <c r="G154" s="1"/>
  <c r="H154" s="1"/>
  <c r="E154"/>
  <c r="D154"/>
  <c r="F153"/>
  <c r="G153"/>
  <c r="H153" s="1"/>
  <c r="E153"/>
  <c r="D153"/>
  <c r="F150"/>
  <c r="G150"/>
  <c r="H150" s="1"/>
  <c r="E150"/>
  <c r="F149"/>
  <c r="G149"/>
  <c r="H149" s="1"/>
  <c r="E149"/>
  <c r="G148"/>
  <c r="H148"/>
  <c r="F148"/>
  <c r="E148"/>
  <c r="E131" i="4"/>
  <c r="F131" s="1"/>
  <c r="G131" s="1"/>
  <c r="H131" s="1"/>
  <c r="D136" s="1"/>
  <c r="E136" s="1"/>
  <c r="F136" s="1"/>
  <c r="G136" s="1"/>
  <c r="H136" s="1"/>
  <c r="D141" s="1"/>
  <c r="E141" s="1"/>
  <c r="F141" s="1"/>
  <c r="G141" s="1"/>
  <c r="H141" s="1"/>
  <c r="E59"/>
  <c r="F59" s="1"/>
  <c r="G59" s="1"/>
  <c r="H59" s="1"/>
  <c r="D67" s="1"/>
  <c r="E67" s="1"/>
  <c r="F67" s="1"/>
  <c r="G67" s="1"/>
  <c r="H67" s="1"/>
  <c r="D75" s="1"/>
  <c r="E75" s="1"/>
  <c r="F75" s="1"/>
  <c r="G75" s="1"/>
  <c r="H75" s="1"/>
  <c r="E33"/>
  <c r="F33" s="1"/>
  <c r="D143" i="1"/>
  <c r="E142"/>
  <c r="F142" s="1"/>
  <c r="H142"/>
  <c r="H143"/>
  <c r="C143"/>
  <c r="E137"/>
  <c r="F137"/>
  <c r="G137" s="1"/>
  <c r="H137"/>
  <c r="E36"/>
  <c r="F36" s="1"/>
  <c r="G36" s="1"/>
  <c r="H36" s="1"/>
  <c r="E50" s="1"/>
  <c r="E54" s="1"/>
  <c r="D18"/>
  <c r="H30" s="1"/>
  <c r="D44" s="1"/>
  <c r="D87" s="1"/>
  <c r="E256" i="10"/>
  <c r="E255"/>
  <c r="E254"/>
  <c r="E253"/>
  <c r="E252"/>
  <c r="E246"/>
  <c r="E245"/>
  <c r="E244"/>
  <c r="E243"/>
  <c r="E242"/>
  <c r="D235"/>
  <c r="D234"/>
  <c r="D244" s="1"/>
  <c r="D233"/>
  <c r="D243" s="1"/>
  <c r="D232"/>
  <c r="E236"/>
  <c r="E235"/>
  <c r="E234"/>
  <c r="E233"/>
  <c r="E232"/>
  <c r="E283" i="9"/>
  <c r="E282"/>
  <c r="E281"/>
  <c r="E280"/>
  <c r="E274"/>
  <c r="E273"/>
  <c r="E272"/>
  <c r="E271"/>
  <c r="E265"/>
  <c r="E264"/>
  <c r="E263"/>
  <c r="E262"/>
  <c r="E256"/>
  <c r="E255"/>
  <c r="E254"/>
  <c r="E253"/>
  <c r="D246"/>
  <c r="D247"/>
  <c r="D244"/>
  <c r="D253" s="1"/>
  <c r="D245"/>
  <c r="D254" s="1"/>
  <c r="D263" s="1"/>
  <c r="D272" s="1"/>
  <c r="D281" s="1"/>
  <c r="G281" s="1"/>
  <c r="H281" s="1"/>
  <c r="E247"/>
  <c r="E246"/>
  <c r="E245"/>
  <c r="E244"/>
  <c r="G233" i="7"/>
  <c r="H233" s="1"/>
  <c r="G231"/>
  <c r="E233"/>
  <c r="E232"/>
  <c r="E231"/>
  <c r="E230"/>
  <c r="E224"/>
  <c r="E223"/>
  <c r="E222"/>
  <c r="E221"/>
  <c r="E215"/>
  <c r="E214"/>
  <c r="E213"/>
  <c r="E212"/>
  <c r="D204"/>
  <c r="E206"/>
  <c r="E205"/>
  <c r="E204"/>
  <c r="E203"/>
  <c r="D197"/>
  <c r="D206" s="1"/>
  <c r="D215" s="1"/>
  <c r="D224" s="1"/>
  <c r="D196"/>
  <c r="D205" s="1"/>
  <c r="D214" s="1"/>
  <c r="D194"/>
  <c r="D203" s="1"/>
  <c r="D212" s="1"/>
  <c r="E197"/>
  <c r="E196"/>
  <c r="E195"/>
  <c r="F195" s="1"/>
  <c r="G195" s="1"/>
  <c r="H195" s="1"/>
  <c r="E194"/>
  <c r="G297" i="6"/>
  <c r="H297" s="1"/>
  <c r="G295"/>
  <c r="H295" s="1"/>
  <c r="E297"/>
  <c r="E296"/>
  <c r="E295"/>
  <c r="E294"/>
  <c r="H286"/>
  <c r="E288"/>
  <c r="E287"/>
  <c r="E286"/>
  <c r="E285"/>
  <c r="D268"/>
  <c r="E279"/>
  <c r="E278"/>
  <c r="E277"/>
  <c r="E276"/>
  <c r="E270"/>
  <c r="E269"/>
  <c r="E268"/>
  <c r="E267"/>
  <c r="D261"/>
  <c r="D260"/>
  <c r="D269" s="1"/>
  <c r="E259"/>
  <c r="F259" s="1"/>
  <c r="G259" s="1"/>
  <c r="H259" s="1"/>
  <c r="E260"/>
  <c r="E261"/>
  <c r="E258"/>
  <c r="H230" i="4"/>
  <c r="G228"/>
  <c r="H228" s="1"/>
  <c r="B201"/>
  <c r="B210" s="1"/>
  <c r="B219" s="1"/>
  <c r="B228" s="1"/>
  <c r="B202"/>
  <c r="B211" s="1"/>
  <c r="B220" s="1"/>
  <c r="B229" s="1"/>
  <c r="B203"/>
  <c r="B212" s="1"/>
  <c r="B221" s="1"/>
  <c r="B230" s="1"/>
  <c r="C201"/>
  <c r="C210" s="1"/>
  <c r="C219" s="1"/>
  <c r="C228" s="1"/>
  <c r="D201"/>
  <c r="D210" s="1"/>
  <c r="D219" s="1"/>
  <c r="D228" s="1"/>
  <c r="C202"/>
  <c r="C211" s="1"/>
  <c r="C220" s="1"/>
  <c r="C229" s="1"/>
  <c r="C203"/>
  <c r="C212" s="1"/>
  <c r="C221" s="1"/>
  <c r="C230" s="1"/>
  <c r="C200"/>
  <c r="C209" s="1"/>
  <c r="C218" s="1"/>
  <c r="C227" s="1"/>
  <c r="E192"/>
  <c r="E201" s="1"/>
  <c r="F201" s="1"/>
  <c r="G201" s="1"/>
  <c r="H201" s="1"/>
  <c r="E193"/>
  <c r="E202" s="1"/>
  <c r="E211" s="1"/>
  <c r="E194"/>
  <c r="E191"/>
  <c r="E200" s="1"/>
  <c r="D194"/>
  <c r="D203" s="1"/>
  <c r="D212" s="1"/>
  <c r="D221" s="1"/>
  <c r="D230" s="1"/>
  <c r="D193"/>
  <c r="D202" s="1"/>
  <c r="G281" i="1"/>
  <c r="H281" s="1"/>
  <c r="G270"/>
  <c r="H270" s="1"/>
  <c r="G259"/>
  <c r="H259" s="1"/>
  <c r="B226"/>
  <c r="B237" s="1"/>
  <c r="B248" s="1"/>
  <c r="B259" s="1"/>
  <c r="B270" s="1"/>
  <c r="B281" s="1"/>
  <c r="B292" s="1"/>
  <c r="C226"/>
  <c r="C237" s="1"/>
  <c r="C248" s="1"/>
  <c r="C259" s="1"/>
  <c r="C270" s="1"/>
  <c r="C281" s="1"/>
  <c r="C292" s="1"/>
  <c r="B215"/>
  <c r="C215"/>
  <c r="E215"/>
  <c r="E204"/>
  <c r="E226" s="1"/>
  <c r="D203"/>
  <c r="D191" i="4"/>
  <c r="D200" s="1"/>
  <c r="D209" s="1"/>
  <c r="G277" i="1"/>
  <c r="H277" s="1"/>
  <c r="G278"/>
  <c r="H278" s="1"/>
  <c r="G279"/>
  <c r="H279" s="1"/>
  <c r="G280"/>
  <c r="H280" s="1"/>
  <c r="G266"/>
  <c r="H266" s="1"/>
  <c r="G267"/>
  <c r="H267" s="1"/>
  <c r="G268"/>
  <c r="H268" s="1"/>
  <c r="G255"/>
  <c r="H255" s="1"/>
  <c r="D233"/>
  <c r="D244" s="1"/>
  <c r="D255" s="1"/>
  <c r="D266" s="1"/>
  <c r="D277" s="1"/>
  <c r="D288" s="1"/>
  <c r="B235"/>
  <c r="B246" s="1"/>
  <c r="B257" s="1"/>
  <c r="B268" s="1"/>
  <c r="B279" s="1"/>
  <c r="B290" s="1"/>
  <c r="C211"/>
  <c r="D211"/>
  <c r="C212"/>
  <c r="C213"/>
  <c r="C214"/>
  <c r="C210"/>
  <c r="B211"/>
  <c r="B212"/>
  <c r="B213"/>
  <c r="B214"/>
  <c r="B223"/>
  <c r="B234" s="1"/>
  <c r="B245" s="1"/>
  <c r="B256" s="1"/>
  <c r="B267" s="1"/>
  <c r="B278" s="1"/>
  <c r="B289" s="1"/>
  <c r="B224"/>
  <c r="B225"/>
  <c r="B236" s="1"/>
  <c r="B247" s="1"/>
  <c r="B258" s="1"/>
  <c r="B269" s="1"/>
  <c r="B280" s="1"/>
  <c r="B291" s="1"/>
  <c r="B222"/>
  <c r="B233" s="1"/>
  <c r="B244" s="1"/>
  <c r="B255" s="1"/>
  <c r="B266" s="1"/>
  <c r="B277" s="1"/>
  <c r="B288" s="1"/>
  <c r="C222"/>
  <c r="C233" s="1"/>
  <c r="C244" s="1"/>
  <c r="C255" s="1"/>
  <c r="C266" s="1"/>
  <c r="C277" s="1"/>
  <c r="C288" s="1"/>
  <c r="D222"/>
  <c r="C223"/>
  <c r="C234" s="1"/>
  <c r="C245" s="1"/>
  <c r="C256" s="1"/>
  <c r="C267" s="1"/>
  <c r="C278" s="1"/>
  <c r="C289" s="1"/>
  <c r="C224"/>
  <c r="C235" s="1"/>
  <c r="C246" s="1"/>
  <c r="C257" s="1"/>
  <c r="C268" s="1"/>
  <c r="C279" s="1"/>
  <c r="C290" s="1"/>
  <c r="C225"/>
  <c r="C236" s="1"/>
  <c r="C247" s="1"/>
  <c r="C258" s="1"/>
  <c r="C269" s="1"/>
  <c r="C280" s="1"/>
  <c r="C291" s="1"/>
  <c r="C221"/>
  <c r="C232" s="1"/>
  <c r="C243" s="1"/>
  <c r="C254" s="1"/>
  <c r="C265" s="1"/>
  <c r="C276" s="1"/>
  <c r="C287" s="1"/>
  <c r="E200"/>
  <c r="E211" s="1"/>
  <c r="E201"/>
  <c r="E223" s="1"/>
  <c r="E234" s="1"/>
  <c r="E245" s="1"/>
  <c r="E256" s="1"/>
  <c r="E202"/>
  <c r="E224" s="1"/>
  <c r="E235" s="1"/>
  <c r="E246" s="1"/>
  <c r="E257" s="1"/>
  <c r="G257" s="1"/>
  <c r="H257" s="1"/>
  <c r="E203"/>
  <c r="E214" s="1"/>
  <c r="E199"/>
  <c r="E210" s="1"/>
  <c r="D202"/>
  <c r="D201"/>
  <c r="D223" s="1"/>
  <c r="H165" i="10"/>
  <c r="H166"/>
  <c r="H167"/>
  <c r="E165"/>
  <c r="F165" s="1"/>
  <c r="G165" s="1"/>
  <c r="E166"/>
  <c r="F166" s="1"/>
  <c r="G166" s="1"/>
  <c r="E167"/>
  <c r="F167" s="1"/>
  <c r="G167" s="1"/>
  <c r="D78"/>
  <c r="E78" s="1"/>
  <c r="F78" s="1"/>
  <c r="G78" s="1"/>
  <c r="H78" s="1"/>
  <c r="D91" s="1"/>
  <c r="E91" s="1"/>
  <c r="F91" s="1"/>
  <c r="G91" s="1"/>
  <c r="H91" s="1"/>
  <c r="D104" s="1"/>
  <c r="E104" s="1"/>
  <c r="F104" s="1"/>
  <c r="G104" s="1"/>
  <c r="H104" s="1"/>
  <c r="D79"/>
  <c r="E79" s="1"/>
  <c r="F79" s="1"/>
  <c r="G79" s="1"/>
  <c r="H79" s="1"/>
  <c r="D92" s="1"/>
  <c r="E92" s="1"/>
  <c r="F92" s="1"/>
  <c r="G92" s="1"/>
  <c r="H92" s="1"/>
  <c r="D105" s="1"/>
  <c r="E105" s="1"/>
  <c r="F105" s="1"/>
  <c r="G105" s="1"/>
  <c r="H105" s="1"/>
  <c r="D80"/>
  <c r="E80" s="1"/>
  <c r="F80" s="1"/>
  <c r="G80" s="1"/>
  <c r="H80" s="1"/>
  <c r="D93" s="1"/>
  <c r="E93" s="1"/>
  <c r="F93" s="1"/>
  <c r="G93" s="1"/>
  <c r="H93" s="1"/>
  <c r="D106" s="1"/>
  <c r="E106" s="1"/>
  <c r="F106" s="1"/>
  <c r="G106" s="1"/>
  <c r="H106" s="1"/>
  <c r="D81"/>
  <c r="E81" s="1"/>
  <c r="F81" s="1"/>
  <c r="G81" s="1"/>
  <c r="H81" s="1"/>
  <c r="D94" s="1"/>
  <c r="E94" s="1"/>
  <c r="F94" s="1"/>
  <c r="G94" s="1"/>
  <c r="H94" s="1"/>
  <c r="D107" s="1"/>
  <c r="E107" s="1"/>
  <c r="F107" s="1"/>
  <c r="G107" s="1"/>
  <c r="H107" s="1"/>
  <c r="D82"/>
  <c r="E82" s="1"/>
  <c r="F82" s="1"/>
  <c r="G82" s="1"/>
  <c r="H82" s="1"/>
  <c r="D95" s="1"/>
  <c r="E95" s="1"/>
  <c r="F95" s="1"/>
  <c r="G95" s="1"/>
  <c r="H95" s="1"/>
  <c r="D108" s="1"/>
  <c r="E108" s="1"/>
  <c r="F108" s="1"/>
  <c r="G108" s="1"/>
  <c r="H108" s="1"/>
  <c r="D83"/>
  <c r="E83" s="1"/>
  <c r="F83" s="1"/>
  <c r="G83" s="1"/>
  <c r="H83" s="1"/>
  <c r="D96" s="1"/>
  <c r="E96" s="1"/>
  <c r="F96" s="1"/>
  <c r="G96" s="1"/>
  <c r="H96" s="1"/>
  <c r="D109" s="1"/>
  <c r="E109" s="1"/>
  <c r="F109" s="1"/>
  <c r="G109" s="1"/>
  <c r="H109" s="1"/>
  <c r="D84"/>
  <c r="E84" s="1"/>
  <c r="F84" s="1"/>
  <c r="G84" s="1"/>
  <c r="H84" s="1"/>
  <c r="D97" s="1"/>
  <c r="E97" s="1"/>
  <c r="F97" s="1"/>
  <c r="G97" s="1"/>
  <c r="H97" s="1"/>
  <c r="D110" s="1"/>
  <c r="E110" s="1"/>
  <c r="F110" s="1"/>
  <c r="G110" s="1"/>
  <c r="H110" s="1"/>
  <c r="D77"/>
  <c r="E77" s="1"/>
  <c r="F77" s="1"/>
  <c r="G77" s="1"/>
  <c r="H77" s="1"/>
  <c r="D90" s="1"/>
  <c r="E90" s="1"/>
  <c r="F90" s="1"/>
  <c r="G90" s="1"/>
  <c r="H90" s="1"/>
  <c r="D103" s="1"/>
  <c r="E103" s="1"/>
  <c r="F103" s="1"/>
  <c r="G103" s="1"/>
  <c r="H103" s="1"/>
  <c r="D46"/>
  <c r="G46" s="1"/>
  <c r="E28"/>
  <c r="F28" s="1"/>
  <c r="H28" s="1"/>
  <c r="F27"/>
  <c r="H27" s="1"/>
  <c r="H31"/>
  <c r="E24"/>
  <c r="E25" s="1"/>
  <c r="M297"/>
  <c r="M298" s="1"/>
  <c r="L297"/>
  <c r="L298" s="1"/>
  <c r="K297"/>
  <c r="K298" s="1"/>
  <c r="J297"/>
  <c r="J298" s="1"/>
  <c r="K296"/>
  <c r="K293" s="1"/>
  <c r="K300" s="1"/>
  <c r="K323" s="1"/>
  <c r="J293"/>
  <c r="J300" s="1"/>
  <c r="J323" s="1"/>
  <c r="D288"/>
  <c r="D296"/>
  <c r="J232"/>
  <c r="D172"/>
  <c r="C172"/>
  <c r="H170"/>
  <c r="E170"/>
  <c r="F170" s="1"/>
  <c r="G170" s="1"/>
  <c r="H169"/>
  <c r="E169"/>
  <c r="F169" s="1"/>
  <c r="G169" s="1"/>
  <c r="H168"/>
  <c r="E168"/>
  <c r="F168" s="1"/>
  <c r="H164"/>
  <c r="E164"/>
  <c r="F164" s="1"/>
  <c r="G164" s="1"/>
  <c r="H163"/>
  <c r="E163"/>
  <c r="D302" i="9"/>
  <c r="E302" s="1"/>
  <c r="F302" s="1"/>
  <c r="G302" s="1"/>
  <c r="H302" s="1"/>
  <c r="D313" s="1"/>
  <c r="E313" s="1"/>
  <c r="F313" s="1"/>
  <c r="G313" s="1"/>
  <c r="H313" s="1"/>
  <c r="D324" s="1"/>
  <c r="D251" i="7"/>
  <c r="E251" s="1"/>
  <c r="F251" s="1"/>
  <c r="G251" s="1"/>
  <c r="H251" s="1"/>
  <c r="D316" i="6"/>
  <c r="E316" s="1"/>
  <c r="F316" s="1"/>
  <c r="G316" s="1"/>
  <c r="H316" s="1"/>
  <c r="D248" i="4"/>
  <c r="E248" s="1"/>
  <c r="F248" s="1"/>
  <c r="G248" s="1"/>
  <c r="H248" s="1"/>
  <c r="E297" i="1"/>
  <c r="D310" s="1"/>
  <c r="E310" s="1"/>
  <c r="F310" s="1"/>
  <c r="G310" s="1"/>
  <c r="H310" s="1"/>
  <c r="D320" s="1"/>
  <c r="E320" s="1"/>
  <c r="F320" s="1"/>
  <c r="G320" s="1"/>
  <c r="H320" s="1"/>
  <c r="D330" s="1"/>
  <c r="E330" s="1"/>
  <c r="F330" s="1"/>
  <c r="G330" s="1"/>
  <c r="H330" s="1"/>
  <c r="D294" i="9"/>
  <c r="D172"/>
  <c r="C172"/>
  <c r="H171"/>
  <c r="E171"/>
  <c r="F171" s="1"/>
  <c r="G171" s="1"/>
  <c r="H170"/>
  <c r="E170"/>
  <c r="F170" s="1"/>
  <c r="G170" s="1"/>
  <c r="H169"/>
  <c r="E169"/>
  <c r="F169" s="1"/>
  <c r="G169" s="1"/>
  <c r="H168"/>
  <c r="E168"/>
  <c r="F168" s="1"/>
  <c r="G168" s="1"/>
  <c r="H167"/>
  <c r="E167"/>
  <c r="F167" s="1"/>
  <c r="G167" s="1"/>
  <c r="H166"/>
  <c r="E166"/>
  <c r="F166" s="1"/>
  <c r="G166" s="1"/>
  <c r="H165"/>
  <c r="E165"/>
  <c r="F165" s="1"/>
  <c r="G165" s="1"/>
  <c r="H164"/>
  <c r="E164"/>
  <c r="F164" s="1"/>
  <c r="G164" s="1"/>
  <c r="H162"/>
  <c r="E162"/>
  <c r="F162" s="1"/>
  <c r="G162" s="1"/>
  <c r="H161"/>
  <c r="E161"/>
  <c r="F161" s="1"/>
  <c r="G161" s="1"/>
  <c r="H160"/>
  <c r="E160"/>
  <c r="F160" s="1"/>
  <c r="G160" s="1"/>
  <c r="H159"/>
  <c r="E159"/>
  <c r="F159" s="1"/>
  <c r="E82"/>
  <c r="F82" s="1"/>
  <c r="G82" s="1"/>
  <c r="H82" s="1"/>
  <c r="D113" s="1"/>
  <c r="E113" s="1"/>
  <c r="F113" s="1"/>
  <c r="G113" s="1"/>
  <c r="H113" s="1"/>
  <c r="D144" s="1"/>
  <c r="E144" s="1"/>
  <c r="F144" s="1"/>
  <c r="G144" s="1"/>
  <c r="H144" s="1"/>
  <c r="E81"/>
  <c r="F81" s="1"/>
  <c r="D80"/>
  <c r="E79"/>
  <c r="F79" s="1"/>
  <c r="G79" s="1"/>
  <c r="H79" s="1"/>
  <c r="D110" s="1"/>
  <c r="E110" s="1"/>
  <c r="F110" s="1"/>
  <c r="G110" s="1"/>
  <c r="H110" s="1"/>
  <c r="D141" s="1"/>
  <c r="E141" s="1"/>
  <c r="F141" s="1"/>
  <c r="G141" s="1"/>
  <c r="H141" s="1"/>
  <c r="E77"/>
  <c r="F77" s="1"/>
  <c r="G77" s="1"/>
  <c r="H77" s="1"/>
  <c r="E73"/>
  <c r="F73" s="1"/>
  <c r="G73" s="1"/>
  <c r="H73" s="1"/>
  <c r="D104" s="1"/>
  <c r="E104" s="1"/>
  <c r="F104" s="1"/>
  <c r="G104" s="1"/>
  <c r="H104" s="1"/>
  <c r="D135" s="1"/>
  <c r="E135" s="1"/>
  <c r="F135" s="1"/>
  <c r="G135" s="1"/>
  <c r="H135" s="1"/>
  <c r="D72"/>
  <c r="E72" s="1"/>
  <c r="F72" s="1"/>
  <c r="G72" s="1"/>
  <c r="H72" s="1"/>
  <c r="D103" s="1"/>
  <c r="E103" s="1"/>
  <c r="F103" s="1"/>
  <c r="G103" s="1"/>
  <c r="H103" s="1"/>
  <c r="D134" s="1"/>
  <c r="E134" s="1"/>
  <c r="F134" s="1"/>
  <c r="G134" s="1"/>
  <c r="H134" s="1"/>
  <c r="E67"/>
  <c r="F67" s="1"/>
  <c r="G67" s="1"/>
  <c r="H67" s="1"/>
  <c r="D98" s="1"/>
  <c r="E98" s="1"/>
  <c r="F98" s="1"/>
  <c r="G98" s="1"/>
  <c r="H98" s="1"/>
  <c r="D129" s="1"/>
  <c r="E129" s="1"/>
  <c r="F129" s="1"/>
  <c r="G129" s="1"/>
  <c r="H129" s="1"/>
  <c r="E66"/>
  <c r="F66" s="1"/>
  <c r="G66" s="1"/>
  <c r="H66" s="1"/>
  <c r="D97" s="1"/>
  <c r="E97" s="1"/>
  <c r="F97" s="1"/>
  <c r="G97" s="1"/>
  <c r="H97" s="1"/>
  <c r="D128" s="1"/>
  <c r="E128" s="1"/>
  <c r="F128" s="1"/>
  <c r="G128" s="1"/>
  <c r="H128" s="1"/>
  <c r="E65"/>
  <c r="F65" s="1"/>
  <c r="G65" s="1"/>
  <c r="H65" s="1"/>
  <c r="D96" s="1"/>
  <c r="E96" s="1"/>
  <c r="F96" s="1"/>
  <c r="G96" s="1"/>
  <c r="H96" s="1"/>
  <c r="D127" s="1"/>
  <c r="E127" s="1"/>
  <c r="F127" s="1"/>
  <c r="G127" s="1"/>
  <c r="H127" s="1"/>
  <c r="E34"/>
  <c r="D32"/>
  <c r="E32" s="1"/>
  <c r="F32" s="1"/>
  <c r="G32" s="1"/>
  <c r="H32" s="1"/>
  <c r="D40" s="1"/>
  <c r="E40" s="1"/>
  <c r="F40" s="1"/>
  <c r="G40" s="1"/>
  <c r="H40" s="1"/>
  <c r="D48" s="1"/>
  <c r="E48" s="1"/>
  <c r="F48" s="1"/>
  <c r="G48" s="1"/>
  <c r="H48" s="1"/>
  <c r="D31"/>
  <c r="E31" s="1"/>
  <c r="F31" s="1"/>
  <c r="G31" s="1"/>
  <c r="H31" s="1"/>
  <c r="D39" s="1"/>
  <c r="B221" i="1"/>
  <c r="B232" s="1"/>
  <c r="B243" s="1"/>
  <c r="B254" s="1"/>
  <c r="B265" s="1"/>
  <c r="B276" s="1"/>
  <c r="B287" s="1"/>
  <c r="B210"/>
  <c r="M252" i="7"/>
  <c r="M253" s="1"/>
  <c r="L252"/>
  <c r="L253" s="1"/>
  <c r="K252"/>
  <c r="K253" s="1"/>
  <c r="J252"/>
  <c r="J253" s="1"/>
  <c r="K251"/>
  <c r="L251" s="1"/>
  <c r="J248"/>
  <c r="J255" s="1"/>
  <c r="J256" s="1"/>
  <c r="D243"/>
  <c r="J194"/>
  <c r="D128"/>
  <c r="C128"/>
  <c r="H127"/>
  <c r="E127"/>
  <c r="F127" s="1"/>
  <c r="H126"/>
  <c r="E126"/>
  <c r="F126" s="1"/>
  <c r="G126" s="1"/>
  <c r="H125"/>
  <c r="E125"/>
  <c r="F125" s="1"/>
  <c r="G125" s="1"/>
  <c r="D63"/>
  <c r="D62"/>
  <c r="D61"/>
  <c r="D60"/>
  <c r="D59"/>
  <c r="D37"/>
  <c r="D36"/>
  <c r="E36" s="1"/>
  <c r="F36" s="1"/>
  <c r="G36" s="1"/>
  <c r="H36" s="1"/>
  <c r="D44" s="1"/>
  <c r="E44" s="1"/>
  <c r="F44" s="1"/>
  <c r="G44" s="1"/>
  <c r="H44" s="1"/>
  <c r="D52" s="1"/>
  <c r="E52" s="1"/>
  <c r="F52" s="1"/>
  <c r="G52" s="1"/>
  <c r="H52" s="1"/>
  <c r="D35"/>
  <c r="E35" s="1"/>
  <c r="F35" s="1"/>
  <c r="G35" s="1"/>
  <c r="H35" s="1"/>
  <c r="D43" s="1"/>
  <c r="E43" s="1"/>
  <c r="F43" s="1"/>
  <c r="G43" s="1"/>
  <c r="H43" s="1"/>
  <c r="D51" s="1"/>
  <c r="E51" s="1"/>
  <c r="F51" s="1"/>
  <c r="G51" s="1"/>
  <c r="H51" s="1"/>
  <c r="D34"/>
  <c r="D33"/>
  <c r="H25"/>
  <c r="H24"/>
  <c r="H23"/>
  <c r="H22"/>
  <c r="H21"/>
  <c r="I230" i="6"/>
  <c r="J230"/>
  <c r="K230"/>
  <c r="L230"/>
  <c r="M230"/>
  <c r="I229"/>
  <c r="J229"/>
  <c r="K229"/>
  <c r="L229"/>
  <c r="M229"/>
  <c r="I228"/>
  <c r="J228"/>
  <c r="K228"/>
  <c r="L228"/>
  <c r="M228"/>
  <c r="I221"/>
  <c r="J221"/>
  <c r="K221"/>
  <c r="L221"/>
  <c r="M221"/>
  <c r="I219"/>
  <c r="J219"/>
  <c r="K219"/>
  <c r="L219"/>
  <c r="M219"/>
  <c r="E179"/>
  <c r="F179" s="1"/>
  <c r="G179" s="1"/>
  <c r="H179"/>
  <c r="D183"/>
  <c r="C183"/>
  <c r="D83"/>
  <c r="D129"/>
  <c r="E129" s="1"/>
  <c r="F129" s="1"/>
  <c r="G129" s="1"/>
  <c r="D128"/>
  <c r="E128" s="1"/>
  <c r="F128" s="1"/>
  <c r="G128" s="1"/>
  <c r="H128" s="1"/>
  <c r="D58"/>
  <c r="D91"/>
  <c r="E91" s="1"/>
  <c r="D90"/>
  <c r="E90" s="1"/>
  <c r="F90" s="1"/>
  <c r="G90" s="1"/>
  <c r="H90" s="1"/>
  <c r="D53"/>
  <c r="D52"/>
  <c r="E52" s="1"/>
  <c r="F52" s="1"/>
  <c r="G52" s="1"/>
  <c r="H52" s="1"/>
  <c r="D78"/>
  <c r="D73"/>
  <c r="D68"/>
  <c r="E105"/>
  <c r="D63"/>
  <c r="D54"/>
  <c r="E54" s="1"/>
  <c r="F54" s="1"/>
  <c r="F17"/>
  <c r="D240" i="4"/>
  <c r="M317" i="6"/>
  <c r="M318" s="1"/>
  <c r="L317"/>
  <c r="L318" s="1"/>
  <c r="K317"/>
  <c r="K318" s="1"/>
  <c r="J317"/>
  <c r="J318" s="1"/>
  <c r="K316"/>
  <c r="K313" s="1"/>
  <c r="K320" s="1"/>
  <c r="K341" s="1"/>
  <c r="J313"/>
  <c r="J320" s="1"/>
  <c r="J341" s="1"/>
  <c r="J258"/>
  <c r="H178"/>
  <c r="E178"/>
  <c r="F178" s="1"/>
  <c r="G178" s="1"/>
  <c r="H176"/>
  <c r="E176"/>
  <c r="F176" s="1"/>
  <c r="G176" s="1"/>
  <c r="H175"/>
  <c r="E175"/>
  <c r="F175" s="1"/>
  <c r="G175" s="1"/>
  <c r="H174"/>
  <c r="E174"/>
  <c r="F174" s="1"/>
  <c r="B200" i="4"/>
  <c r="B209" s="1"/>
  <c r="B218" s="1"/>
  <c r="B227" s="1"/>
  <c r="D61"/>
  <c r="D62"/>
  <c r="D63"/>
  <c r="D64"/>
  <c r="D60"/>
  <c r="D35"/>
  <c r="D36"/>
  <c r="D37"/>
  <c r="D38"/>
  <c r="D34"/>
  <c r="H22"/>
  <c r="H23"/>
  <c r="H24"/>
  <c r="H25"/>
  <c r="H21"/>
  <c r="D126"/>
  <c r="C126"/>
  <c r="H125"/>
  <c r="E125"/>
  <c r="F125" s="1"/>
  <c r="G125" s="1"/>
  <c r="H124"/>
  <c r="E124"/>
  <c r="F124" s="1"/>
  <c r="G124" s="1"/>
  <c r="H123"/>
  <c r="E123"/>
  <c r="F123" s="1"/>
  <c r="G123" s="1"/>
  <c r="H122"/>
  <c r="E122"/>
  <c r="H244" i="1"/>
  <c r="H134"/>
  <c r="H135"/>
  <c r="H136"/>
  <c r="H138"/>
  <c r="H139"/>
  <c r="H140"/>
  <c r="H141"/>
  <c r="H133"/>
  <c r="E134"/>
  <c r="F134" s="1"/>
  <c r="G134" s="1"/>
  <c r="E135"/>
  <c r="F135" s="1"/>
  <c r="G135" s="1"/>
  <c r="E136"/>
  <c r="F136" s="1"/>
  <c r="G136" s="1"/>
  <c r="E138"/>
  <c r="F138" s="1"/>
  <c r="G138" s="1"/>
  <c r="E139"/>
  <c r="F139" s="1"/>
  <c r="G139" s="1"/>
  <c r="E140"/>
  <c r="F140" s="1"/>
  <c r="G140" s="1"/>
  <c r="E141"/>
  <c r="F141" s="1"/>
  <c r="G141" s="1"/>
  <c r="E133"/>
  <c r="H134" i="6" l="1"/>
  <c r="H89" i="1"/>
  <c r="H90" s="1"/>
  <c r="G90"/>
  <c r="F54"/>
  <c r="G54" s="1"/>
  <c r="H54" s="1"/>
  <c r="F50"/>
  <c r="G50" s="1"/>
  <c r="H50" s="1"/>
  <c r="E53"/>
  <c r="E52"/>
  <c r="E57"/>
  <c r="F57" s="1"/>
  <c r="G57" s="1"/>
  <c r="H57" s="1"/>
  <c r="E58"/>
  <c r="F58" s="1"/>
  <c r="G58" s="1"/>
  <c r="H58" s="1"/>
  <c r="E59"/>
  <c r="E56"/>
  <c r="F202"/>
  <c r="G202" s="1"/>
  <c r="H202" s="1"/>
  <c r="E222"/>
  <c r="E233" s="1"/>
  <c r="E244" s="1"/>
  <c r="E255" s="1"/>
  <c r="E266" s="1"/>
  <c r="E277" s="1"/>
  <c r="E288" s="1"/>
  <c r="E221"/>
  <c r="E232" s="1"/>
  <c r="E243" s="1"/>
  <c r="E254" s="1"/>
  <c r="E265" s="1"/>
  <c r="E276" s="1"/>
  <c r="E287" s="1"/>
  <c r="E44"/>
  <c r="E296" i="10"/>
  <c r="F296" s="1"/>
  <c r="G296" s="1"/>
  <c r="H296" s="1"/>
  <c r="D307"/>
  <c r="F235"/>
  <c r="G235" s="1"/>
  <c r="H235" s="1"/>
  <c r="F244"/>
  <c r="G244" s="1"/>
  <c r="H244" s="1"/>
  <c r="F234"/>
  <c r="G234" s="1"/>
  <c r="H234" s="1"/>
  <c r="D254"/>
  <c r="F232"/>
  <c r="F236"/>
  <c r="G236" s="1"/>
  <c r="H236" s="1"/>
  <c r="E324" i="9"/>
  <c r="F324" s="1"/>
  <c r="F211" i="1"/>
  <c r="G211" s="1"/>
  <c r="H211" s="1"/>
  <c r="F246" i="9"/>
  <c r="G246" s="1"/>
  <c r="E35"/>
  <c r="F34"/>
  <c r="G34" s="1"/>
  <c r="H34" s="1"/>
  <c r="E42" s="1"/>
  <c r="F42" s="1"/>
  <c r="G42" s="1"/>
  <c r="F253"/>
  <c r="G253" s="1"/>
  <c r="H253" s="1"/>
  <c r="G263"/>
  <c r="H263" s="1"/>
  <c r="H272"/>
  <c r="D262" i="7"/>
  <c r="E33"/>
  <c r="F33" s="1"/>
  <c r="G33" s="1"/>
  <c r="H33" s="1"/>
  <c r="D41" s="1"/>
  <c r="E41" s="1"/>
  <c r="F41" s="1"/>
  <c r="G41" s="1"/>
  <c r="H41" s="1"/>
  <c r="D49" s="1"/>
  <c r="E49" s="1"/>
  <c r="F49" s="1"/>
  <c r="G49" s="1"/>
  <c r="H49" s="1"/>
  <c r="E37"/>
  <c r="F37" s="1"/>
  <c r="G37" s="1"/>
  <c r="H37" s="1"/>
  <c r="D45" s="1"/>
  <c r="E34"/>
  <c r="F34" s="1"/>
  <c r="G34" s="1"/>
  <c r="H34" s="1"/>
  <c r="D42" s="1"/>
  <c r="E42" s="1"/>
  <c r="F42" s="1"/>
  <c r="G42" s="1"/>
  <c r="H42" s="1"/>
  <c r="D50" s="1"/>
  <c r="E50" s="1"/>
  <c r="F50" s="1"/>
  <c r="G50" s="1"/>
  <c r="H50" s="1"/>
  <c r="E63"/>
  <c r="F63" s="1"/>
  <c r="G63" s="1"/>
  <c r="H63" s="1"/>
  <c r="D72" s="1"/>
  <c r="E72" s="1"/>
  <c r="F72" s="1"/>
  <c r="G72" s="1"/>
  <c r="H72" s="1"/>
  <c r="D81" s="1"/>
  <c r="E81" s="1"/>
  <c r="F81" s="1"/>
  <c r="G81" s="1"/>
  <c r="H81" s="1"/>
  <c r="F143"/>
  <c r="G143" s="1"/>
  <c r="H143" s="1"/>
  <c r="E60"/>
  <c r="F60" s="1"/>
  <c r="G60" s="1"/>
  <c r="H60" s="1"/>
  <c r="D69" s="1"/>
  <c r="E69" s="1"/>
  <c r="F69" s="1"/>
  <c r="G69" s="1"/>
  <c r="H69" s="1"/>
  <c r="D78" s="1"/>
  <c r="E78" s="1"/>
  <c r="F78" s="1"/>
  <c r="G78" s="1"/>
  <c r="H78" s="1"/>
  <c r="H107" s="1"/>
  <c r="D86"/>
  <c r="E59"/>
  <c r="F59" s="1"/>
  <c r="G59" s="1"/>
  <c r="H59" s="1"/>
  <c r="D68" s="1"/>
  <c r="E61"/>
  <c r="F61" s="1"/>
  <c r="G61" s="1"/>
  <c r="H61" s="1"/>
  <c r="D70" s="1"/>
  <c r="E62"/>
  <c r="F62" s="1"/>
  <c r="G62" s="1"/>
  <c r="H62" s="1"/>
  <c r="D71" s="1"/>
  <c r="E71" s="1"/>
  <c r="F196"/>
  <c r="G196" s="1"/>
  <c r="H196" s="1"/>
  <c r="H26"/>
  <c r="H27" s="1"/>
  <c r="P25" s="1"/>
  <c r="G215"/>
  <c r="H215" s="1"/>
  <c r="D221"/>
  <c r="F212"/>
  <c r="D223"/>
  <c r="D232" s="1"/>
  <c r="G232" s="1"/>
  <c r="H232" s="1"/>
  <c r="F214"/>
  <c r="G214" s="1"/>
  <c r="H214" s="1"/>
  <c r="F221"/>
  <c r="F203"/>
  <c r="F205"/>
  <c r="G205" s="1"/>
  <c r="H205" s="1"/>
  <c r="D233"/>
  <c r="F206"/>
  <c r="G206" s="1"/>
  <c r="H206" s="1"/>
  <c r="D207"/>
  <c r="F197"/>
  <c r="G197" s="1"/>
  <c r="H197" s="1"/>
  <c r="F204"/>
  <c r="G204" s="1"/>
  <c r="H204" s="1"/>
  <c r="F194"/>
  <c r="D213"/>
  <c r="D222" s="1"/>
  <c r="D231" s="1"/>
  <c r="D326" i="6"/>
  <c r="G54"/>
  <c r="H54" s="1"/>
  <c r="F198"/>
  <c r="G198" s="1"/>
  <c r="H198" s="1"/>
  <c r="F258"/>
  <c r="F261"/>
  <c r="G261" s="1"/>
  <c r="H261" s="1"/>
  <c r="F260"/>
  <c r="G260" s="1"/>
  <c r="D278"/>
  <c r="D287" s="1"/>
  <c r="D296" s="1"/>
  <c r="F269"/>
  <c r="G269" s="1"/>
  <c r="H269" s="1"/>
  <c r="F267"/>
  <c r="G267" s="1"/>
  <c r="D276"/>
  <c r="F276" s="1"/>
  <c r="F268"/>
  <c r="G268" s="1"/>
  <c r="H268" s="1"/>
  <c r="D262"/>
  <c r="D270"/>
  <c r="D271" s="1"/>
  <c r="D277"/>
  <c r="F268" i="4"/>
  <c r="G268" s="1"/>
  <c r="F160" i="1"/>
  <c r="G160" s="1"/>
  <c r="H160" s="1"/>
  <c r="F159"/>
  <c r="G159" s="1"/>
  <c r="H159" s="1"/>
  <c r="E62" i="4"/>
  <c r="F62" s="1"/>
  <c r="G62" s="1"/>
  <c r="H62" s="1"/>
  <c r="D70" s="1"/>
  <c r="E70" s="1"/>
  <c r="F70" s="1"/>
  <c r="G70" s="1"/>
  <c r="H70" s="1"/>
  <c r="D78" s="1"/>
  <c r="E78" s="1"/>
  <c r="F78" s="1"/>
  <c r="G78" s="1"/>
  <c r="H78" s="1"/>
  <c r="G33"/>
  <c r="H33" s="1"/>
  <c r="D41" s="1"/>
  <c r="E41" s="1"/>
  <c r="F41" s="1"/>
  <c r="E35"/>
  <c r="F35" s="1"/>
  <c r="E63"/>
  <c r="F63" s="1"/>
  <c r="G63" s="1"/>
  <c r="H63" s="1"/>
  <c r="D71" s="1"/>
  <c r="E71" s="1"/>
  <c r="F71" s="1"/>
  <c r="G71" s="1"/>
  <c r="H71" s="1"/>
  <c r="D79" s="1"/>
  <c r="E79" s="1"/>
  <c r="F79" s="1"/>
  <c r="G79" s="1"/>
  <c r="H79" s="1"/>
  <c r="E37"/>
  <c r="F37" s="1"/>
  <c r="E38"/>
  <c r="F38" s="1"/>
  <c r="E61"/>
  <c r="F61" s="1"/>
  <c r="G61" s="1"/>
  <c r="H61" s="1"/>
  <c r="D69" s="1"/>
  <c r="E69" s="1"/>
  <c r="F69" s="1"/>
  <c r="G69" s="1"/>
  <c r="H69" s="1"/>
  <c r="D77" s="1"/>
  <c r="E77" s="1"/>
  <c r="F77" s="1"/>
  <c r="G77" s="1"/>
  <c r="H77" s="1"/>
  <c r="E60"/>
  <c r="F60" s="1"/>
  <c r="G60" s="1"/>
  <c r="H60" s="1"/>
  <c r="D68" s="1"/>
  <c r="E68" s="1"/>
  <c r="F68" s="1"/>
  <c r="G68" s="1"/>
  <c r="H68" s="1"/>
  <c r="D76" s="1"/>
  <c r="E76" s="1"/>
  <c r="F76" s="1"/>
  <c r="G76" s="1"/>
  <c r="H76" s="1"/>
  <c r="E64"/>
  <c r="F64" s="1"/>
  <c r="G64" s="1"/>
  <c r="H64" s="1"/>
  <c r="D72" s="1"/>
  <c r="E72" s="1"/>
  <c r="F72" s="1"/>
  <c r="G72" s="1"/>
  <c r="H72" s="1"/>
  <c r="D80" s="1"/>
  <c r="E80" s="1"/>
  <c r="F80" s="1"/>
  <c r="G80" s="1"/>
  <c r="H80" s="1"/>
  <c r="E36"/>
  <c r="F36" s="1"/>
  <c r="E34"/>
  <c r="F34" s="1"/>
  <c r="H26"/>
  <c r="H27" s="1"/>
  <c r="F194"/>
  <c r="G194" s="1"/>
  <c r="H194" s="1"/>
  <c r="D195"/>
  <c r="D218"/>
  <c r="D211"/>
  <c r="D220" s="1"/>
  <c r="D229" s="1"/>
  <c r="F202"/>
  <c r="G202" s="1"/>
  <c r="H202" s="1"/>
  <c r="E209"/>
  <c r="F200"/>
  <c r="E220"/>
  <c r="F193"/>
  <c r="G193" s="1"/>
  <c r="H193" s="1"/>
  <c r="E203"/>
  <c r="E210"/>
  <c r="G142" i="1"/>
  <c r="G143" s="1"/>
  <c r="F143"/>
  <c r="E143"/>
  <c r="G256"/>
  <c r="H256" s="1"/>
  <c r="E267"/>
  <c r="E278" s="1"/>
  <c r="E289" s="1"/>
  <c r="E213"/>
  <c r="E237"/>
  <c r="E225"/>
  <c r="E236" s="1"/>
  <c r="E247" s="1"/>
  <c r="E258" s="1"/>
  <c r="E269" s="1"/>
  <c r="E280" s="1"/>
  <c r="E291" s="1"/>
  <c r="D212"/>
  <c r="F212" s="1"/>
  <c r="G212" s="1"/>
  <c r="H212" s="1"/>
  <c r="E212"/>
  <c r="G223"/>
  <c r="H223" s="1"/>
  <c r="D253" i="10"/>
  <c r="F243"/>
  <c r="G243" s="1"/>
  <c r="H243" s="1"/>
  <c r="D245"/>
  <c r="F233"/>
  <c r="G233" s="1"/>
  <c r="H233" s="1"/>
  <c r="D246"/>
  <c r="D242"/>
  <c r="D252" s="1"/>
  <c r="D262" s="1"/>
  <c r="D237"/>
  <c r="D123"/>
  <c r="F254" i="9"/>
  <c r="G254" s="1"/>
  <c r="H254" s="1"/>
  <c r="D262"/>
  <c r="F262" s="1"/>
  <c r="F247"/>
  <c r="G247" s="1"/>
  <c r="H247" s="1"/>
  <c r="D255"/>
  <c r="F244"/>
  <c r="G244" s="1"/>
  <c r="H244" s="1"/>
  <c r="F245"/>
  <c r="G245" s="1"/>
  <c r="H245" s="1"/>
  <c r="D256"/>
  <c r="D248"/>
  <c r="H231" i="7"/>
  <c r="D198"/>
  <c r="H288" i="6"/>
  <c r="D204" i="4"/>
  <c r="E268" i="1"/>
  <c r="E279" s="1"/>
  <c r="E290" s="1"/>
  <c r="D213"/>
  <c r="F213" s="1"/>
  <c r="G213" s="1"/>
  <c r="H213" s="1"/>
  <c r="D234"/>
  <c r="D245" s="1"/>
  <c r="F192" i="4"/>
  <c r="G192" s="1"/>
  <c r="H192" s="1"/>
  <c r="F201" i="1"/>
  <c r="G201" s="1"/>
  <c r="H201" s="1"/>
  <c r="D224"/>
  <c r="D199"/>
  <c r="F200"/>
  <c r="G200" s="1"/>
  <c r="H200" s="1"/>
  <c r="D204"/>
  <c r="G168" i="10"/>
  <c r="G123"/>
  <c r="F46"/>
  <c r="D58"/>
  <c r="H46"/>
  <c r="E46"/>
  <c r="E30"/>
  <c r="F30" s="1"/>
  <c r="D42"/>
  <c r="E42" s="1"/>
  <c r="F42" s="1"/>
  <c r="G42" s="1"/>
  <c r="H42" s="1"/>
  <c r="D54" s="1"/>
  <c r="D43"/>
  <c r="E43" s="1"/>
  <c r="F43" s="1"/>
  <c r="G43" s="1"/>
  <c r="H43" s="1"/>
  <c r="D55" s="1"/>
  <c r="D179"/>
  <c r="E172"/>
  <c r="F25"/>
  <c r="E26"/>
  <c r="F26" s="1"/>
  <c r="F24"/>
  <c r="E29"/>
  <c r="F29" s="1"/>
  <c r="F163"/>
  <c r="G163" s="1"/>
  <c r="L296"/>
  <c r="L293" s="1"/>
  <c r="L300" s="1"/>
  <c r="L323" s="1"/>
  <c r="E172" i="9"/>
  <c r="H172"/>
  <c r="D179" s="1"/>
  <c r="F172"/>
  <c r="G159"/>
  <c r="G172" s="1"/>
  <c r="D178" s="1"/>
  <c r="D33"/>
  <c r="E33" s="1"/>
  <c r="D41"/>
  <c r="E39"/>
  <c r="D108"/>
  <c r="G81"/>
  <c r="F80"/>
  <c r="E80"/>
  <c r="F191" i="4"/>
  <c r="D90" i="7"/>
  <c r="H128"/>
  <c r="D135" s="1"/>
  <c r="E128"/>
  <c r="F128"/>
  <c r="G127"/>
  <c r="G128" s="1"/>
  <c r="D134" s="1"/>
  <c r="E134" s="1"/>
  <c r="M251"/>
  <c r="M248" s="1"/>
  <c r="M255" s="1"/>
  <c r="M256" s="1"/>
  <c r="L248"/>
  <c r="L255" s="1"/>
  <c r="L256" s="1"/>
  <c r="D87"/>
  <c r="K248"/>
  <c r="K255" s="1"/>
  <c r="K256" s="1"/>
  <c r="D89"/>
  <c r="D88"/>
  <c r="F183" i="6"/>
  <c r="H183"/>
  <c r="D190" s="1"/>
  <c r="E183"/>
  <c r="D81"/>
  <c r="D84" s="1"/>
  <c r="D221" s="1"/>
  <c r="I57"/>
  <c r="J57" s="1"/>
  <c r="K57" s="1"/>
  <c r="L57" s="1"/>
  <c r="M57" s="1"/>
  <c r="D76"/>
  <c r="D79" s="1"/>
  <c r="H129"/>
  <c r="D66"/>
  <c r="D69" s="1"/>
  <c r="D219" s="1"/>
  <c r="D61"/>
  <c r="E53"/>
  <c r="E81" s="1"/>
  <c r="D56"/>
  <c r="D71"/>
  <c r="D74" s="1"/>
  <c r="D220" s="1"/>
  <c r="F91"/>
  <c r="F105"/>
  <c r="L316"/>
  <c r="L313" s="1"/>
  <c r="L320" s="1"/>
  <c r="L341" s="1"/>
  <c r="G174"/>
  <c r="D87" i="4"/>
  <c r="D85"/>
  <c r="D86"/>
  <c r="D89"/>
  <c r="D88"/>
  <c r="H126"/>
  <c r="D133" s="1"/>
  <c r="E126"/>
  <c r="F122"/>
  <c r="F133" i="1"/>
  <c r="D150"/>
  <c r="D171" s="1"/>
  <c r="H31"/>
  <c r="H26"/>
  <c r="H28"/>
  <c r="H24"/>
  <c r="D38" s="1"/>
  <c r="E38" s="1"/>
  <c r="H29"/>
  <c r="H25"/>
  <c r="D119" i="6" l="1"/>
  <c r="F92"/>
  <c r="D130" s="1"/>
  <c r="E130" s="1"/>
  <c r="F130" s="1"/>
  <c r="G130" s="1"/>
  <c r="H130" s="1"/>
  <c r="E64" i="1"/>
  <c r="F64" s="1"/>
  <c r="G64" s="1"/>
  <c r="H64" s="1"/>
  <c r="D64"/>
  <c r="D72" s="1"/>
  <c r="E72" s="1"/>
  <c r="F72" s="1"/>
  <c r="G72" s="1"/>
  <c r="H72" s="1"/>
  <c r="F59"/>
  <c r="G59" s="1"/>
  <c r="H59" s="1"/>
  <c r="D73" s="1"/>
  <c r="E73" s="1"/>
  <c r="F73" s="1"/>
  <c r="G73" s="1"/>
  <c r="H73" s="1"/>
  <c r="F53"/>
  <c r="G53" s="1"/>
  <c r="H53" s="1"/>
  <c r="D67" s="1"/>
  <c r="F56"/>
  <c r="G56" s="1"/>
  <c r="H56" s="1"/>
  <c r="F52"/>
  <c r="G52" s="1"/>
  <c r="H52" s="1"/>
  <c r="D66" s="1"/>
  <c r="E66" s="1"/>
  <c r="F66" s="1"/>
  <c r="G66" s="1"/>
  <c r="H66" s="1"/>
  <c r="H233"/>
  <c r="G222"/>
  <c r="H222" s="1"/>
  <c r="E307" i="10"/>
  <c r="F307" s="1"/>
  <c r="G307" s="1"/>
  <c r="H307" s="1"/>
  <c r="D318"/>
  <c r="D272"/>
  <c r="F262"/>
  <c r="G253"/>
  <c r="H253" s="1"/>
  <c r="D263"/>
  <c r="F254"/>
  <c r="G254" s="1"/>
  <c r="H254" s="1"/>
  <c r="D264"/>
  <c r="D201"/>
  <c r="E179"/>
  <c r="F179" s="1"/>
  <c r="G179" s="1"/>
  <c r="H179" s="1"/>
  <c r="D184" s="1"/>
  <c r="E54"/>
  <c r="D132"/>
  <c r="D70"/>
  <c r="D149" s="1"/>
  <c r="D136"/>
  <c r="E55"/>
  <c r="D133"/>
  <c r="H70"/>
  <c r="H149" s="1"/>
  <c r="E123"/>
  <c r="D120"/>
  <c r="F242"/>
  <c r="G242" s="1"/>
  <c r="F237"/>
  <c r="F238" s="1"/>
  <c r="G324" i="9"/>
  <c r="H324" s="1"/>
  <c r="E178"/>
  <c r="F178" s="1"/>
  <c r="G178" s="1"/>
  <c r="H178" s="1"/>
  <c r="D183" s="1"/>
  <c r="E183" s="1"/>
  <c r="F183" s="1"/>
  <c r="G183" s="1"/>
  <c r="H183" s="1"/>
  <c r="D188" s="1"/>
  <c r="E204"/>
  <c r="E179"/>
  <c r="F179" s="1"/>
  <c r="G179" s="1"/>
  <c r="H179" s="1"/>
  <c r="D184" s="1"/>
  <c r="E184" s="1"/>
  <c r="F184" s="1"/>
  <c r="G184" s="1"/>
  <c r="H184" s="1"/>
  <c r="D189" s="1"/>
  <c r="E36"/>
  <c r="E60" s="1"/>
  <c r="F35"/>
  <c r="G35" s="1"/>
  <c r="H35" s="1"/>
  <c r="D43" s="1"/>
  <c r="E43" s="1"/>
  <c r="F43" s="1"/>
  <c r="G43" s="1"/>
  <c r="H43" s="1"/>
  <c r="D51" s="1"/>
  <c r="E51" s="1"/>
  <c r="F51" s="1"/>
  <c r="G51" s="1"/>
  <c r="H51" s="1"/>
  <c r="D216"/>
  <c r="E262" i="7"/>
  <c r="F262" s="1"/>
  <c r="G262" s="1"/>
  <c r="D273"/>
  <c r="D91"/>
  <c r="D160" s="1"/>
  <c r="F134"/>
  <c r="E157"/>
  <c r="D99"/>
  <c r="G107"/>
  <c r="D107"/>
  <c r="F107"/>
  <c r="E135"/>
  <c r="E107"/>
  <c r="D97"/>
  <c r="E97"/>
  <c r="G97"/>
  <c r="H97"/>
  <c r="F97"/>
  <c r="F71"/>
  <c r="E99"/>
  <c r="E45"/>
  <c r="D100"/>
  <c r="E68"/>
  <c r="D96"/>
  <c r="E70"/>
  <c r="D98"/>
  <c r="F198"/>
  <c r="F199" s="1"/>
  <c r="F223"/>
  <c r="G213"/>
  <c r="G212"/>
  <c r="D216"/>
  <c r="D225"/>
  <c r="D230"/>
  <c r="F207"/>
  <c r="G203"/>
  <c r="D336" i="6"/>
  <c r="E326"/>
  <c r="F326" s="1"/>
  <c r="G326" s="1"/>
  <c r="H326" s="1"/>
  <c r="D99"/>
  <c r="D215"/>
  <c r="E190"/>
  <c r="F190" s="1"/>
  <c r="G190" s="1"/>
  <c r="H190" s="1"/>
  <c r="D195" s="1"/>
  <c r="E195" s="1"/>
  <c r="F195" s="1"/>
  <c r="G195" s="1"/>
  <c r="H195" s="1"/>
  <c r="D200" s="1"/>
  <c r="E200" s="1"/>
  <c r="F200" s="1"/>
  <c r="G200" s="1"/>
  <c r="H200" s="1"/>
  <c r="F262"/>
  <c r="F263" s="1"/>
  <c r="D286"/>
  <c r="G277"/>
  <c r="H277" s="1"/>
  <c r="D285"/>
  <c r="G296"/>
  <c r="H296" s="1"/>
  <c r="F287"/>
  <c r="H287" s="1"/>
  <c r="F278"/>
  <c r="G278" s="1"/>
  <c r="H278" s="1"/>
  <c r="D279"/>
  <c r="D280" s="1"/>
  <c r="F270"/>
  <c r="G270" s="1"/>
  <c r="H270" s="1"/>
  <c r="G276"/>
  <c r="H268" i="4"/>
  <c r="D156"/>
  <c r="H133"/>
  <c r="D138" s="1"/>
  <c r="E133"/>
  <c r="E156" s="1"/>
  <c r="G133"/>
  <c r="G156" s="1"/>
  <c r="F133"/>
  <c r="F156" s="1"/>
  <c r="G35"/>
  <c r="H35" s="1"/>
  <c r="D43" s="1"/>
  <c r="G37"/>
  <c r="H37" s="1"/>
  <c r="D45" s="1"/>
  <c r="G38"/>
  <c r="H38" s="1"/>
  <c r="D46" s="1"/>
  <c r="G41"/>
  <c r="H41" s="1"/>
  <c r="D49" s="1"/>
  <c r="E49" s="1"/>
  <c r="F49" s="1"/>
  <c r="G49" s="1"/>
  <c r="H49" s="1"/>
  <c r="G36"/>
  <c r="H36" s="1"/>
  <c r="D44" s="1"/>
  <c r="G34"/>
  <c r="H34" s="1"/>
  <c r="D157"/>
  <c r="D90"/>
  <c r="D158" s="1"/>
  <c r="F211"/>
  <c r="G211" s="1"/>
  <c r="H211" s="1"/>
  <c r="D213"/>
  <c r="G191"/>
  <c r="F195"/>
  <c r="F196" s="1"/>
  <c r="F209"/>
  <c r="G209" s="1"/>
  <c r="E218"/>
  <c r="F203"/>
  <c r="G203" s="1"/>
  <c r="H203" s="1"/>
  <c r="E212"/>
  <c r="D222"/>
  <c r="D227"/>
  <c r="D231" s="1"/>
  <c r="E219"/>
  <c r="E228" s="1"/>
  <c r="G210"/>
  <c r="F220"/>
  <c r="E229"/>
  <c r="G229" s="1"/>
  <c r="H229" s="1"/>
  <c r="G200"/>
  <c r="D226" i="1"/>
  <c r="F204"/>
  <c r="G204" s="1"/>
  <c r="H204" s="1"/>
  <c r="D215"/>
  <c r="F215" s="1"/>
  <c r="G215" s="1"/>
  <c r="H215" s="1"/>
  <c r="D210"/>
  <c r="F210" s="1"/>
  <c r="D205"/>
  <c r="E248"/>
  <c r="G234"/>
  <c r="H234" s="1"/>
  <c r="F245" i="10"/>
  <c r="G245" s="1"/>
  <c r="H245" s="1"/>
  <c r="D255"/>
  <c r="D256"/>
  <c r="F246"/>
  <c r="G246" s="1"/>
  <c r="H246" s="1"/>
  <c r="D247"/>
  <c r="F252"/>
  <c r="H123"/>
  <c r="E120"/>
  <c r="E119"/>
  <c r="D119"/>
  <c r="F123"/>
  <c r="F248" i="9"/>
  <c r="F249" s="1"/>
  <c r="D271"/>
  <c r="D280" s="1"/>
  <c r="F280" s="1"/>
  <c r="G280" s="1"/>
  <c r="H280" s="1"/>
  <c r="F256"/>
  <c r="G256" s="1"/>
  <c r="H256" s="1"/>
  <c r="D265"/>
  <c r="G262"/>
  <c r="F255"/>
  <c r="G255" s="1"/>
  <c r="H255" s="1"/>
  <c r="D264"/>
  <c r="E216"/>
  <c r="H216"/>
  <c r="D204"/>
  <c r="D257"/>
  <c r="H246"/>
  <c r="H248" s="1"/>
  <c r="G248"/>
  <c r="D203"/>
  <c r="H267" i="6"/>
  <c r="H260"/>
  <c r="D256" i="1"/>
  <c r="D267" s="1"/>
  <c r="D278" s="1"/>
  <c r="D289" s="1"/>
  <c r="G245"/>
  <c r="H245" s="1"/>
  <c r="F224"/>
  <c r="G224" s="1"/>
  <c r="H224" s="1"/>
  <c r="D235"/>
  <c r="D221"/>
  <c r="D232" s="1"/>
  <c r="F199"/>
  <c r="D178" i="10"/>
  <c r="F172"/>
  <c r="F58"/>
  <c r="F136" s="1"/>
  <c r="E58"/>
  <c r="E136" s="1"/>
  <c r="H58"/>
  <c r="H136" s="1"/>
  <c r="G58"/>
  <c r="G136" s="1"/>
  <c r="H30"/>
  <c r="D45"/>
  <c r="E45" s="1"/>
  <c r="F45" s="1"/>
  <c r="G45" s="1"/>
  <c r="H45" s="1"/>
  <c r="D57" s="1"/>
  <c r="H24"/>
  <c r="D39"/>
  <c r="H25"/>
  <c r="D40"/>
  <c r="E40" s="1"/>
  <c r="F40" s="1"/>
  <c r="G40" s="1"/>
  <c r="H40" s="1"/>
  <c r="D52" s="1"/>
  <c r="G119"/>
  <c r="F119"/>
  <c r="F120"/>
  <c r="H29"/>
  <c r="D44"/>
  <c r="H26"/>
  <c r="D41"/>
  <c r="E41" s="1"/>
  <c r="F41" s="1"/>
  <c r="G41" s="1"/>
  <c r="H41" s="1"/>
  <c r="D53" s="1"/>
  <c r="G120"/>
  <c r="G232"/>
  <c r="G237" s="1"/>
  <c r="M296"/>
  <c r="M293" s="1"/>
  <c r="M300" s="1"/>
  <c r="M323" s="1"/>
  <c r="D36" i="9"/>
  <c r="D60" s="1"/>
  <c r="D78" s="1"/>
  <c r="F216"/>
  <c r="E41"/>
  <c r="F39"/>
  <c r="E108"/>
  <c r="G80"/>
  <c r="H81"/>
  <c r="F33"/>
  <c r="D158" i="7"/>
  <c r="F90"/>
  <c r="E90"/>
  <c r="E87"/>
  <c r="E89"/>
  <c r="E86"/>
  <c r="F89"/>
  <c r="D159"/>
  <c r="D157"/>
  <c r="G194"/>
  <c r="G198" s="1"/>
  <c r="F87"/>
  <c r="F88"/>
  <c r="E88"/>
  <c r="F86"/>
  <c r="E84" i="6"/>
  <c r="E221" s="1"/>
  <c r="G183"/>
  <c r="D189" s="1"/>
  <c r="D64"/>
  <c r="D218" s="1"/>
  <c r="E76"/>
  <c r="E79" s="1"/>
  <c r="E71"/>
  <c r="E74" s="1"/>
  <c r="E220" s="1"/>
  <c r="E56"/>
  <c r="E59" s="1"/>
  <c r="E217" s="1"/>
  <c r="E61"/>
  <c r="E64" s="1"/>
  <c r="E218" s="1"/>
  <c r="F53"/>
  <c r="F81" s="1"/>
  <c r="F84" s="1"/>
  <c r="F221" s="1"/>
  <c r="E66"/>
  <c r="E69" s="1"/>
  <c r="E219" s="1"/>
  <c r="D59"/>
  <c r="D217" s="1"/>
  <c r="G105"/>
  <c r="G91"/>
  <c r="M316"/>
  <c r="M313" s="1"/>
  <c r="M320" s="1"/>
  <c r="M341" s="1"/>
  <c r="G258"/>
  <c r="G262" s="1"/>
  <c r="E85" i="4"/>
  <c r="F86"/>
  <c r="E88"/>
  <c r="E89"/>
  <c r="E86"/>
  <c r="E87"/>
  <c r="F87"/>
  <c r="F89"/>
  <c r="F85"/>
  <c r="F88"/>
  <c r="G122"/>
  <c r="F126"/>
  <c r="G133" i="1"/>
  <c r="D149" s="1"/>
  <c r="E171"/>
  <c r="F171"/>
  <c r="G171"/>
  <c r="H171"/>
  <c r="F44"/>
  <c r="E87"/>
  <c r="D40"/>
  <c r="D39"/>
  <c r="D42"/>
  <c r="D43"/>
  <c r="D45"/>
  <c r="D92" i="7" l="1"/>
  <c r="D247" s="1"/>
  <c r="E67" i="1"/>
  <c r="F67" s="1"/>
  <c r="G67" s="1"/>
  <c r="H67" s="1"/>
  <c r="D68"/>
  <c r="E68" s="1"/>
  <c r="F68" s="1"/>
  <c r="G68" s="1"/>
  <c r="H68" s="1"/>
  <c r="D71"/>
  <c r="E71" s="1"/>
  <c r="F71" s="1"/>
  <c r="G71" s="1"/>
  <c r="H71" s="1"/>
  <c r="D70"/>
  <c r="E70" s="1"/>
  <c r="F70" s="1"/>
  <c r="G70" s="1"/>
  <c r="H70" s="1"/>
  <c r="D273" i="10"/>
  <c r="H263"/>
  <c r="F272"/>
  <c r="G255"/>
  <c r="H255" s="1"/>
  <c r="D265"/>
  <c r="F264"/>
  <c r="H264" s="1"/>
  <c r="D274"/>
  <c r="G274" s="1"/>
  <c r="H274" s="1"/>
  <c r="G262"/>
  <c r="G256"/>
  <c r="H256" s="1"/>
  <c r="D266"/>
  <c r="D267" s="1"/>
  <c r="E201"/>
  <c r="E70"/>
  <c r="E149" s="1"/>
  <c r="G70"/>
  <c r="G149" s="1"/>
  <c r="H201"/>
  <c r="F201"/>
  <c r="G201"/>
  <c r="D257"/>
  <c r="D200"/>
  <c r="E178"/>
  <c r="F178" s="1"/>
  <c r="G178" s="1"/>
  <c r="H178" s="1"/>
  <c r="D183" s="1"/>
  <c r="D210"/>
  <c r="E184"/>
  <c r="D295"/>
  <c r="E295" s="1"/>
  <c r="F295" s="1"/>
  <c r="G295" s="1"/>
  <c r="H295" s="1"/>
  <c r="E53"/>
  <c r="D131"/>
  <c r="F55"/>
  <c r="E133"/>
  <c r="F54"/>
  <c r="E132"/>
  <c r="E52"/>
  <c r="D130"/>
  <c r="E57"/>
  <c r="D135"/>
  <c r="F70"/>
  <c r="F149" s="1"/>
  <c r="D121"/>
  <c r="E44"/>
  <c r="F44" s="1"/>
  <c r="G44" s="1"/>
  <c r="H44" s="1"/>
  <c r="D56" s="1"/>
  <c r="D116"/>
  <c r="E39"/>
  <c r="F39" s="1"/>
  <c r="G39" s="1"/>
  <c r="H39" s="1"/>
  <c r="D51" s="1"/>
  <c r="E189" i="9"/>
  <c r="D228"/>
  <c r="E188"/>
  <c r="D227"/>
  <c r="G203"/>
  <c r="G216"/>
  <c r="H204"/>
  <c r="G204"/>
  <c r="F204"/>
  <c r="D215"/>
  <c r="E215"/>
  <c r="E203"/>
  <c r="G215"/>
  <c r="F203"/>
  <c r="H203"/>
  <c r="H215"/>
  <c r="F215"/>
  <c r="E44"/>
  <c r="E91" s="1"/>
  <c r="E93" s="1"/>
  <c r="D44"/>
  <c r="D91" s="1"/>
  <c r="D109" s="1"/>
  <c r="H257"/>
  <c r="D312" s="1"/>
  <c r="G257"/>
  <c r="D266"/>
  <c r="D301"/>
  <c r="E301" s="1"/>
  <c r="F301" s="1"/>
  <c r="G301" s="1"/>
  <c r="H301" s="1"/>
  <c r="H262" i="7"/>
  <c r="D101"/>
  <c r="D171" s="1"/>
  <c r="D170"/>
  <c r="F135"/>
  <c r="E158"/>
  <c r="G134"/>
  <c r="F157"/>
  <c r="D162"/>
  <c r="F91"/>
  <c r="F160" s="1"/>
  <c r="F159"/>
  <c r="E91"/>
  <c r="E160" s="1"/>
  <c r="E159"/>
  <c r="F68"/>
  <c r="E96"/>
  <c r="F70"/>
  <c r="E98"/>
  <c r="F45"/>
  <c r="E100"/>
  <c r="G71"/>
  <c r="F99"/>
  <c r="F225"/>
  <c r="F216"/>
  <c r="G207"/>
  <c r="H203"/>
  <c r="H207" s="1"/>
  <c r="D261" s="1"/>
  <c r="D272"/>
  <c r="E272" s="1"/>
  <c r="F272" s="1"/>
  <c r="G272" s="1"/>
  <c r="H272" s="1"/>
  <c r="D234"/>
  <c r="G216"/>
  <c r="H212"/>
  <c r="H216" s="1"/>
  <c r="G261" s="1"/>
  <c r="H261" s="1"/>
  <c r="D315" i="6"/>
  <c r="E315" s="1"/>
  <c r="F315" s="1"/>
  <c r="G315" s="1"/>
  <c r="H315" s="1"/>
  <c r="E336"/>
  <c r="F336" s="1"/>
  <c r="G336" s="1"/>
  <c r="H336" s="1"/>
  <c r="F228"/>
  <c r="H271"/>
  <c r="D325" s="1"/>
  <c r="F325" s="1"/>
  <c r="G325" s="1"/>
  <c r="H325" s="1"/>
  <c r="H215"/>
  <c r="F215"/>
  <c r="D228"/>
  <c r="D214"/>
  <c r="E189"/>
  <c r="F189" s="1"/>
  <c r="G189" s="1"/>
  <c r="H189" s="1"/>
  <c r="D194" s="1"/>
  <c r="E194" s="1"/>
  <c r="F194" s="1"/>
  <c r="G194" s="1"/>
  <c r="H194" s="1"/>
  <c r="D199" s="1"/>
  <c r="E199" s="1"/>
  <c r="F199" s="1"/>
  <c r="G199" s="1"/>
  <c r="H199" s="1"/>
  <c r="G215"/>
  <c r="G271"/>
  <c r="E215"/>
  <c r="E228"/>
  <c r="D295"/>
  <c r="F271"/>
  <c r="H276"/>
  <c r="D288"/>
  <c r="D289" s="1"/>
  <c r="D294"/>
  <c r="F285"/>
  <c r="E138" i="4"/>
  <c r="D167"/>
  <c r="H156"/>
  <c r="E44"/>
  <c r="D96"/>
  <c r="E45"/>
  <c r="D97"/>
  <c r="E46"/>
  <c r="D98"/>
  <c r="E43"/>
  <c r="D95"/>
  <c r="D42"/>
  <c r="E157"/>
  <c r="F157"/>
  <c r="D91"/>
  <c r="D159" s="1"/>
  <c r="F90"/>
  <c r="E90"/>
  <c r="E158" s="1"/>
  <c r="G204"/>
  <c r="D247"/>
  <c r="E247" s="1"/>
  <c r="F247" s="1"/>
  <c r="G196"/>
  <c r="H191"/>
  <c r="H200"/>
  <c r="H204" s="1"/>
  <c r="D257" s="1"/>
  <c r="F204"/>
  <c r="E221"/>
  <c r="H209"/>
  <c r="F218"/>
  <c r="E227"/>
  <c r="D86" i="1"/>
  <c r="E43"/>
  <c r="F43" s="1"/>
  <c r="D88"/>
  <c r="E45"/>
  <c r="E88" s="1"/>
  <c r="D83"/>
  <c r="E40"/>
  <c r="E83" s="1"/>
  <c r="D82"/>
  <c r="E39"/>
  <c r="E82" s="1"/>
  <c r="D85"/>
  <c r="E42"/>
  <c r="E85" s="1"/>
  <c r="G199"/>
  <c r="F205"/>
  <c r="D237"/>
  <c r="G226"/>
  <c r="H226" s="1"/>
  <c r="G248"/>
  <c r="H248" s="1"/>
  <c r="E259"/>
  <c r="E270" s="1"/>
  <c r="E281" s="1"/>
  <c r="E292" s="1"/>
  <c r="G210"/>
  <c r="H210" s="1"/>
  <c r="G252" i="10"/>
  <c r="F247"/>
  <c r="H242"/>
  <c r="H247" s="1"/>
  <c r="D306" s="1"/>
  <c r="F306" s="1"/>
  <c r="G306" s="1"/>
  <c r="H306" s="1"/>
  <c r="G247"/>
  <c r="D117"/>
  <c r="D122"/>
  <c r="D118"/>
  <c r="F257" i="9"/>
  <c r="F271"/>
  <c r="H262"/>
  <c r="D273"/>
  <c r="F264"/>
  <c r="D274"/>
  <c r="G265"/>
  <c r="H265" s="1"/>
  <c r="D63"/>
  <c r="D216" i="1"/>
  <c r="D246"/>
  <c r="F235"/>
  <c r="H235" s="1"/>
  <c r="D243"/>
  <c r="F232"/>
  <c r="D225"/>
  <c r="D214"/>
  <c r="F214" s="1"/>
  <c r="F216" s="1"/>
  <c r="F221"/>
  <c r="F203"/>
  <c r="G203" s="1"/>
  <c r="H203" s="1"/>
  <c r="E200" i="10"/>
  <c r="F122"/>
  <c r="E122"/>
  <c r="G122"/>
  <c r="G117"/>
  <c r="E117"/>
  <c r="F117"/>
  <c r="H32"/>
  <c r="F118"/>
  <c r="G118"/>
  <c r="E118"/>
  <c r="H118"/>
  <c r="H117"/>
  <c r="H119"/>
  <c r="H122"/>
  <c r="H120"/>
  <c r="H232"/>
  <c r="H237" s="1"/>
  <c r="D61" i="9"/>
  <c r="D76"/>
  <c r="D83" s="1"/>
  <c r="D71"/>
  <c r="D70" s="1"/>
  <c r="D74" s="1"/>
  <c r="D208" s="1"/>
  <c r="D62"/>
  <c r="G249"/>
  <c r="H249" s="1"/>
  <c r="D112"/>
  <c r="H80"/>
  <c r="G33"/>
  <c r="F36"/>
  <c r="F60" s="1"/>
  <c r="F108"/>
  <c r="E102"/>
  <c r="E101" s="1"/>
  <c r="E105" s="1"/>
  <c r="E220" s="1"/>
  <c r="E76"/>
  <c r="E71"/>
  <c r="E70" s="1"/>
  <c r="E74" s="1"/>
  <c r="E208" s="1"/>
  <c r="E62"/>
  <c r="E61"/>
  <c r="E78"/>
  <c r="E63"/>
  <c r="G39"/>
  <c r="F41"/>
  <c r="F44" s="1"/>
  <c r="F91" s="1"/>
  <c r="H194" i="7"/>
  <c r="H198" s="1"/>
  <c r="G87"/>
  <c r="G89"/>
  <c r="G88"/>
  <c r="G86"/>
  <c r="G90"/>
  <c r="D250"/>
  <c r="E250" s="1"/>
  <c r="F250" s="1"/>
  <c r="G250" s="1"/>
  <c r="H250" s="1"/>
  <c r="G126" i="4"/>
  <c r="D132" s="1"/>
  <c r="D170" i="1"/>
  <c r="D85" i="6"/>
  <c r="D312" s="1"/>
  <c r="G228"/>
  <c r="E85"/>
  <c r="E312" s="1"/>
  <c r="D94"/>
  <c r="D97" s="1"/>
  <c r="D230" s="1"/>
  <c r="D114"/>
  <c r="D104"/>
  <c r="D107" s="1"/>
  <c r="D232" s="1"/>
  <c r="D109"/>
  <c r="D112" s="1"/>
  <c r="D233" s="1"/>
  <c r="E119"/>
  <c r="F76"/>
  <c r="F79" s="1"/>
  <c r="F71"/>
  <c r="F74" s="1"/>
  <c r="F220" s="1"/>
  <c r="F56"/>
  <c r="F59" s="1"/>
  <c r="F217" s="1"/>
  <c r="F61"/>
  <c r="F64" s="1"/>
  <c r="F218" s="1"/>
  <c r="G53"/>
  <c r="G81" s="1"/>
  <c r="G84" s="1"/>
  <c r="G221" s="1"/>
  <c r="F66"/>
  <c r="F69" s="1"/>
  <c r="F219" s="1"/>
  <c r="H105"/>
  <c r="H91"/>
  <c r="H258"/>
  <c r="H262" s="1"/>
  <c r="G89" i="4"/>
  <c r="G86"/>
  <c r="H89"/>
  <c r="G88"/>
  <c r="G87"/>
  <c r="G85"/>
  <c r="D178" i="1"/>
  <c r="F45"/>
  <c r="F38"/>
  <c r="E81"/>
  <c r="G44"/>
  <c r="F87"/>
  <c r="D46"/>
  <c r="D81"/>
  <c r="E86"/>
  <c r="D161" i="7" l="1"/>
  <c r="D163" s="1"/>
  <c r="D249" s="1"/>
  <c r="D248" s="1"/>
  <c r="D252" s="1"/>
  <c r="F92"/>
  <c r="F247" s="1"/>
  <c r="F39" i="1"/>
  <c r="F82" s="1"/>
  <c r="F42"/>
  <c r="H262" i="10"/>
  <c r="D275"/>
  <c r="G275" s="1"/>
  <c r="H275" s="1"/>
  <c r="D276"/>
  <c r="H266"/>
  <c r="G272"/>
  <c r="F257"/>
  <c r="G121"/>
  <c r="H116"/>
  <c r="F200"/>
  <c r="G200"/>
  <c r="D209"/>
  <c r="E183"/>
  <c r="E116"/>
  <c r="G116"/>
  <c r="G124" s="1"/>
  <c r="G203" s="1"/>
  <c r="F184"/>
  <c r="E210"/>
  <c r="H200"/>
  <c r="E56"/>
  <c r="D134"/>
  <c r="F57"/>
  <c r="E135"/>
  <c r="G54"/>
  <c r="F132"/>
  <c r="F53"/>
  <c r="E131"/>
  <c r="E51"/>
  <c r="D129"/>
  <c r="F52"/>
  <c r="E130"/>
  <c r="G55"/>
  <c r="F133"/>
  <c r="F121"/>
  <c r="F116"/>
  <c r="D137"/>
  <c r="D303" s="1"/>
  <c r="H121"/>
  <c r="E121"/>
  <c r="F188" i="9"/>
  <c r="E227"/>
  <c r="F189"/>
  <c r="E228"/>
  <c r="E83"/>
  <c r="E107"/>
  <c r="D102"/>
  <c r="D101" s="1"/>
  <c r="D105" s="1"/>
  <c r="D220" s="1"/>
  <c r="D93"/>
  <c r="E109"/>
  <c r="E92"/>
  <c r="E94"/>
  <c r="D92"/>
  <c r="D94"/>
  <c r="D107"/>
  <c r="F273"/>
  <c r="H273" s="1"/>
  <c r="D282"/>
  <c r="G282" s="1"/>
  <c r="H282" s="1"/>
  <c r="F257" i="4"/>
  <c r="G257" s="1"/>
  <c r="H257" s="1"/>
  <c r="E273" i="7"/>
  <c r="E170"/>
  <c r="E101"/>
  <c r="E171" s="1"/>
  <c r="H134"/>
  <c r="G157"/>
  <c r="E92"/>
  <c r="E247" s="1"/>
  <c r="D102"/>
  <c r="D258" s="1"/>
  <c r="G159"/>
  <c r="G91"/>
  <c r="G160" s="1"/>
  <c r="G135"/>
  <c r="F158"/>
  <c r="G70"/>
  <c r="F98"/>
  <c r="G45"/>
  <c r="F100"/>
  <c r="G68"/>
  <c r="F96"/>
  <c r="H71"/>
  <c r="G99"/>
  <c r="F234"/>
  <c r="G230"/>
  <c r="F227" i="6"/>
  <c r="G227"/>
  <c r="D227"/>
  <c r="E227"/>
  <c r="F294"/>
  <c r="G279"/>
  <c r="F280"/>
  <c r="G285"/>
  <c r="D297"/>
  <c r="F289"/>
  <c r="F138" i="4"/>
  <c r="E167"/>
  <c r="D155"/>
  <c r="E132"/>
  <c r="F132" s="1"/>
  <c r="G132" s="1"/>
  <c r="H132" s="1"/>
  <c r="D137" s="1"/>
  <c r="D160"/>
  <c r="D244"/>
  <c r="F46"/>
  <c r="E98"/>
  <c r="E42"/>
  <c r="D94"/>
  <c r="F43"/>
  <c r="E95"/>
  <c r="F45"/>
  <c r="E97"/>
  <c r="F44"/>
  <c r="E96"/>
  <c r="G157"/>
  <c r="F91"/>
  <c r="F159" s="1"/>
  <c r="F158"/>
  <c r="G90"/>
  <c r="E91"/>
  <c r="E159" s="1"/>
  <c r="E230"/>
  <c r="F222"/>
  <c r="G227"/>
  <c r="F231"/>
  <c r="F213"/>
  <c r="G212"/>
  <c r="H196"/>
  <c r="F205" s="1"/>
  <c r="G205" s="1"/>
  <c r="H205" s="1"/>
  <c r="F40" i="1"/>
  <c r="F83" s="1"/>
  <c r="E46"/>
  <c r="D172"/>
  <c r="D248"/>
  <c r="D259" s="1"/>
  <c r="D270" s="1"/>
  <c r="D281" s="1"/>
  <c r="D292" s="1"/>
  <c r="H237"/>
  <c r="H199"/>
  <c r="H205" s="1"/>
  <c r="G205"/>
  <c r="H252" i="10"/>
  <c r="H257" s="1"/>
  <c r="G257"/>
  <c r="H274" i="9"/>
  <c r="D283"/>
  <c r="G271"/>
  <c r="G264"/>
  <c r="F266"/>
  <c r="E312" s="1"/>
  <c r="D275"/>
  <c r="F258"/>
  <c r="G258" s="1"/>
  <c r="H258" s="1"/>
  <c r="D68"/>
  <c r="F225" i="1"/>
  <c r="G225" s="1"/>
  <c r="H225" s="1"/>
  <c r="D236"/>
  <c r="D254"/>
  <c r="F243"/>
  <c r="D257"/>
  <c r="D268" s="1"/>
  <c r="D279" s="1"/>
  <c r="D290" s="1"/>
  <c r="G246"/>
  <c r="H246" s="1"/>
  <c r="G214"/>
  <c r="G216" s="1"/>
  <c r="G232"/>
  <c r="D227"/>
  <c r="D238" s="1"/>
  <c r="D249" s="1"/>
  <c r="D260" s="1"/>
  <c r="D271" s="1"/>
  <c r="D282" s="1"/>
  <c r="D293" s="1"/>
  <c r="G221"/>
  <c r="D124" i="10"/>
  <c r="G238"/>
  <c r="H238" s="1"/>
  <c r="F248" s="1"/>
  <c r="G248" s="1"/>
  <c r="H248" s="1"/>
  <c r="G108" i="9"/>
  <c r="F107"/>
  <c r="H39"/>
  <c r="G41"/>
  <c r="G44" s="1"/>
  <c r="G91" s="1"/>
  <c r="G36"/>
  <c r="G60" s="1"/>
  <c r="H33"/>
  <c r="H36" s="1"/>
  <c r="H60" s="1"/>
  <c r="D111"/>
  <c r="E112"/>
  <c r="F93"/>
  <c r="F109"/>
  <c r="F102"/>
  <c r="F101" s="1"/>
  <c r="F105" s="1"/>
  <c r="F220" s="1"/>
  <c r="F92"/>
  <c r="F94"/>
  <c r="F61"/>
  <c r="F62"/>
  <c r="F71"/>
  <c r="F70" s="1"/>
  <c r="F74" s="1"/>
  <c r="F208" s="1"/>
  <c r="F78"/>
  <c r="F63"/>
  <c r="F76"/>
  <c r="E68"/>
  <c r="G199" i="7"/>
  <c r="H199" s="1"/>
  <c r="F208" s="1"/>
  <c r="G208" s="1"/>
  <c r="H208" s="1"/>
  <c r="F217" s="1"/>
  <c r="G217" s="1"/>
  <c r="H217" s="1"/>
  <c r="F226" s="1"/>
  <c r="H90"/>
  <c r="H87"/>
  <c r="H86"/>
  <c r="H89"/>
  <c r="H88"/>
  <c r="E170" i="1"/>
  <c r="H170"/>
  <c r="G170"/>
  <c r="F170"/>
  <c r="E222" i="6"/>
  <c r="E216"/>
  <c r="H214"/>
  <c r="F214"/>
  <c r="E214"/>
  <c r="D222"/>
  <c r="D216"/>
  <c r="G214"/>
  <c r="D241"/>
  <c r="D240"/>
  <c r="H227"/>
  <c r="H228"/>
  <c r="F85"/>
  <c r="F312" s="1"/>
  <c r="D122"/>
  <c r="D234" s="1"/>
  <c r="D117"/>
  <c r="D102"/>
  <c r="D231" s="1"/>
  <c r="E114"/>
  <c r="E104"/>
  <c r="E107" s="1"/>
  <c r="E232" s="1"/>
  <c r="E99"/>
  <c r="E94"/>
  <c r="E97" s="1"/>
  <c r="E230" s="1"/>
  <c r="E109"/>
  <c r="E112" s="1"/>
  <c r="E233" s="1"/>
  <c r="H53"/>
  <c r="H81" s="1"/>
  <c r="H84" s="1"/>
  <c r="H221" s="1"/>
  <c r="G61"/>
  <c r="G64" s="1"/>
  <c r="G218" s="1"/>
  <c r="G66"/>
  <c r="G69" s="1"/>
  <c r="G219" s="1"/>
  <c r="G76"/>
  <c r="G79" s="1"/>
  <c r="G71"/>
  <c r="G74" s="1"/>
  <c r="G220" s="1"/>
  <c r="G56"/>
  <c r="G59" s="1"/>
  <c r="G217" s="1"/>
  <c r="G263"/>
  <c r="H263" s="1"/>
  <c r="F272" s="1"/>
  <c r="G272" s="1"/>
  <c r="H272" s="1"/>
  <c r="H86" i="4"/>
  <c r="H88"/>
  <c r="H85"/>
  <c r="H87"/>
  <c r="G247"/>
  <c r="G42" i="1"/>
  <c r="F85"/>
  <c r="G43"/>
  <c r="F86"/>
  <c r="H44"/>
  <c r="G87"/>
  <c r="G38"/>
  <c r="F81"/>
  <c r="G45"/>
  <c r="F88"/>
  <c r="F277" i="10" l="1"/>
  <c r="D137" i="6"/>
  <c r="D140" s="1"/>
  <c r="D157"/>
  <c r="D160" s="1"/>
  <c r="D142"/>
  <c r="D145" s="1"/>
  <c r="D152"/>
  <c r="D155" s="1"/>
  <c r="D132"/>
  <c r="D135" s="1"/>
  <c r="D147"/>
  <c r="D150" s="1"/>
  <c r="G92" i="7"/>
  <c r="G39" i="1"/>
  <c r="G82" s="1"/>
  <c r="D307"/>
  <c r="D173"/>
  <c r="D174" s="1"/>
  <c r="D311" s="1"/>
  <c r="D277" i="10"/>
  <c r="F258"/>
  <c r="G258" s="1"/>
  <c r="H258" s="1"/>
  <c r="G277"/>
  <c r="H272"/>
  <c r="H277" s="1"/>
  <c r="G265"/>
  <c r="F267"/>
  <c r="F124"/>
  <c r="F203" s="1"/>
  <c r="E124"/>
  <c r="E203" s="1"/>
  <c r="D203"/>
  <c r="D204"/>
  <c r="G184"/>
  <c r="F210"/>
  <c r="D212"/>
  <c r="D213"/>
  <c r="D211"/>
  <c r="E209"/>
  <c r="F183"/>
  <c r="H55"/>
  <c r="G133"/>
  <c r="F51"/>
  <c r="E129"/>
  <c r="H54"/>
  <c r="G132"/>
  <c r="F56"/>
  <c r="E134"/>
  <c r="G52"/>
  <c r="F130"/>
  <c r="G53"/>
  <c r="F131"/>
  <c r="G57"/>
  <c r="F135"/>
  <c r="D99" i="9"/>
  <c r="G189"/>
  <c r="F228"/>
  <c r="G188"/>
  <c r="F227"/>
  <c r="D114"/>
  <c r="F261" i="7"/>
  <c r="G227" i="1"/>
  <c r="E221" i="9"/>
  <c r="F83"/>
  <c r="E209"/>
  <c r="E99"/>
  <c r="D209"/>
  <c r="D221"/>
  <c r="H41"/>
  <c r="H44" s="1"/>
  <c r="H91" s="1"/>
  <c r="H109" s="1"/>
  <c r="D47"/>
  <c r="D84"/>
  <c r="D205" s="1"/>
  <c r="F99"/>
  <c r="F273" i="7"/>
  <c r="H135"/>
  <c r="G158"/>
  <c r="E102"/>
  <c r="E258" s="1"/>
  <c r="F170"/>
  <c r="F101"/>
  <c r="F171" s="1"/>
  <c r="D172"/>
  <c r="D173"/>
  <c r="H91"/>
  <c r="H160" s="1"/>
  <c r="H159"/>
  <c r="D139"/>
  <c r="H157"/>
  <c r="H45"/>
  <c r="G100"/>
  <c r="H68"/>
  <c r="G96"/>
  <c r="H70"/>
  <c r="G98"/>
  <c r="D80"/>
  <c r="H99"/>
  <c r="H230"/>
  <c r="H234" s="1"/>
  <c r="G234"/>
  <c r="F281" i="6"/>
  <c r="H279"/>
  <c r="H280" s="1"/>
  <c r="G280"/>
  <c r="H285"/>
  <c r="H289" s="1"/>
  <c r="G289"/>
  <c r="E335" s="1"/>
  <c r="F335" s="1"/>
  <c r="G335" s="1"/>
  <c r="H335" s="1"/>
  <c r="D298"/>
  <c r="F298"/>
  <c r="G294"/>
  <c r="G138" i="4"/>
  <c r="F167"/>
  <c r="D161"/>
  <c r="D246" s="1"/>
  <c r="D245" s="1"/>
  <c r="D249" s="1"/>
  <c r="D250" s="1"/>
  <c r="D99"/>
  <c r="D169" s="1"/>
  <c r="D168"/>
  <c r="E137"/>
  <c r="D166"/>
  <c r="G155"/>
  <c r="H155"/>
  <c r="E155"/>
  <c r="F96"/>
  <c r="G44"/>
  <c r="G45"/>
  <c r="F97"/>
  <c r="F42"/>
  <c r="E94"/>
  <c r="E168" s="1"/>
  <c r="F95"/>
  <c r="G43"/>
  <c r="G46"/>
  <c r="F98"/>
  <c r="F160"/>
  <c r="F244"/>
  <c r="H157"/>
  <c r="G91"/>
  <c r="G159" s="1"/>
  <c r="G158"/>
  <c r="E160"/>
  <c r="E244"/>
  <c r="H90"/>
  <c r="H158" s="1"/>
  <c r="F214"/>
  <c r="H212"/>
  <c r="H213" s="1"/>
  <c r="G213"/>
  <c r="G231"/>
  <c r="H227"/>
  <c r="H231" s="1"/>
  <c r="D267"/>
  <c r="E267" s="1"/>
  <c r="F267" s="1"/>
  <c r="G267" s="1"/>
  <c r="H267" s="1"/>
  <c r="F46" i="1"/>
  <c r="G40"/>
  <c r="G83" s="1"/>
  <c r="F227"/>
  <c r="D202" i="10"/>
  <c r="D292"/>
  <c r="G202"/>
  <c r="G292"/>
  <c r="G204"/>
  <c r="E204"/>
  <c r="D284" i="9"/>
  <c r="F275"/>
  <c r="H312" s="1"/>
  <c r="H271"/>
  <c r="H275" s="1"/>
  <c r="G275"/>
  <c r="D323" s="1"/>
  <c r="E323" s="1"/>
  <c r="F323" s="1"/>
  <c r="G323" s="1"/>
  <c r="H323" s="1"/>
  <c r="F267"/>
  <c r="H264"/>
  <c r="H266" s="1"/>
  <c r="G312" s="1"/>
  <c r="G266"/>
  <c r="F312" s="1"/>
  <c r="F235" i="7"/>
  <c r="D247" i="1"/>
  <c r="F236"/>
  <c r="F238" s="1"/>
  <c r="D309"/>
  <c r="E309" s="1"/>
  <c r="F309" s="1"/>
  <c r="G309" s="1"/>
  <c r="H309" s="1"/>
  <c r="F206"/>
  <c r="G206" s="1"/>
  <c r="H206" s="1"/>
  <c r="F217" s="1"/>
  <c r="F254"/>
  <c r="D265"/>
  <c r="H214"/>
  <c r="H232"/>
  <c r="G243"/>
  <c r="H221"/>
  <c r="H227" s="1"/>
  <c r="H124" i="10"/>
  <c r="H203" s="1"/>
  <c r="E84" i="9"/>
  <c r="E298" s="1"/>
  <c r="E111"/>
  <c r="E114" s="1"/>
  <c r="F112"/>
  <c r="G109"/>
  <c r="G102"/>
  <c r="G101" s="1"/>
  <c r="G105" s="1"/>
  <c r="G220" s="1"/>
  <c r="G92"/>
  <c r="G93"/>
  <c r="G94"/>
  <c r="F221"/>
  <c r="F209"/>
  <c r="G78"/>
  <c r="G63"/>
  <c r="G61"/>
  <c r="G71"/>
  <c r="G70" s="1"/>
  <c r="G74" s="1"/>
  <c r="G208" s="1"/>
  <c r="G62"/>
  <c r="G76"/>
  <c r="F68"/>
  <c r="H108"/>
  <c r="D139" s="1"/>
  <c r="G107"/>
  <c r="D206"/>
  <c r="H78"/>
  <c r="H63"/>
  <c r="H71"/>
  <c r="H70" s="1"/>
  <c r="H74" s="1"/>
  <c r="H208" s="1"/>
  <c r="H62"/>
  <c r="H61"/>
  <c r="H76"/>
  <c r="G247" i="7"/>
  <c r="D253"/>
  <c r="D254" s="1"/>
  <c r="F155" i="4"/>
  <c r="E307" i="1"/>
  <c r="E172"/>
  <c r="E173"/>
  <c r="D179"/>
  <c r="F216" i="6"/>
  <c r="F222"/>
  <c r="D223"/>
  <c r="D314" s="1"/>
  <c r="E223"/>
  <c r="E314" s="1"/>
  <c r="D123"/>
  <c r="D322" s="1"/>
  <c r="E241"/>
  <c r="E240"/>
  <c r="G85"/>
  <c r="G312" s="1"/>
  <c r="E122"/>
  <c r="E234" s="1"/>
  <c r="F119"/>
  <c r="E117"/>
  <c r="E102"/>
  <c r="E231" s="1"/>
  <c r="F104"/>
  <c r="F107" s="1"/>
  <c r="F232" s="1"/>
  <c r="F99"/>
  <c r="F109"/>
  <c r="F112" s="1"/>
  <c r="F233" s="1"/>
  <c r="F94"/>
  <c r="F97" s="1"/>
  <c r="F230" s="1"/>
  <c r="F114"/>
  <c r="H66"/>
  <c r="H69" s="1"/>
  <c r="H219" s="1"/>
  <c r="H56"/>
  <c r="H59" s="1"/>
  <c r="H217" s="1"/>
  <c r="H76"/>
  <c r="H79" s="1"/>
  <c r="H71"/>
  <c r="H74" s="1"/>
  <c r="H220" s="1"/>
  <c r="H61"/>
  <c r="H64" s="1"/>
  <c r="H218" s="1"/>
  <c r="H247" i="4"/>
  <c r="H42" i="1"/>
  <c r="G85"/>
  <c r="H45"/>
  <c r="G88"/>
  <c r="H38"/>
  <c r="E96" s="1"/>
  <c r="G81"/>
  <c r="H43"/>
  <c r="G86"/>
  <c r="H39"/>
  <c r="H87"/>
  <c r="F268" i="10" l="1"/>
  <c r="H265"/>
  <c r="H267" s="1"/>
  <c r="G267"/>
  <c r="E317" s="1"/>
  <c r="F317" s="1"/>
  <c r="G317" s="1"/>
  <c r="H317" s="1"/>
  <c r="F204"/>
  <c r="E292"/>
  <c r="F292"/>
  <c r="E202"/>
  <c r="E205" s="1"/>
  <c r="E294" s="1"/>
  <c r="E293" s="1"/>
  <c r="F202"/>
  <c r="D214"/>
  <c r="D305" s="1"/>
  <c r="D304" s="1"/>
  <c r="D308" s="1"/>
  <c r="D309" s="1"/>
  <c r="D310" s="1"/>
  <c r="H184"/>
  <c r="G210"/>
  <c r="G183"/>
  <c r="F209"/>
  <c r="H57"/>
  <c r="G135"/>
  <c r="H52"/>
  <c r="G130"/>
  <c r="D66"/>
  <c r="H132"/>
  <c r="D67"/>
  <c r="H133"/>
  <c r="H53"/>
  <c r="G131"/>
  <c r="G56"/>
  <c r="F134"/>
  <c r="G51"/>
  <c r="F129"/>
  <c r="E137"/>
  <c r="E303" s="1"/>
  <c r="D205"/>
  <c r="D294" s="1"/>
  <c r="D293" s="1"/>
  <c r="D297" s="1"/>
  <c r="D298" s="1"/>
  <c r="D299" s="1"/>
  <c r="D115" i="9"/>
  <c r="D218" s="1"/>
  <c r="H189"/>
  <c r="H228" s="1"/>
  <c r="G228"/>
  <c r="H188"/>
  <c r="H227" s="1"/>
  <c r="G227"/>
  <c r="E139"/>
  <c r="G83"/>
  <c r="H83"/>
  <c r="D210"/>
  <c r="D207"/>
  <c r="E205"/>
  <c r="H94"/>
  <c r="H102"/>
  <c r="H101" s="1"/>
  <c r="H105" s="1"/>
  <c r="H220" s="1"/>
  <c r="H92"/>
  <c r="H107"/>
  <c r="H93"/>
  <c r="E47"/>
  <c r="D49"/>
  <c r="D52" s="1"/>
  <c r="D122" s="1"/>
  <c r="D138" s="1"/>
  <c r="D233" s="1"/>
  <c r="D298"/>
  <c r="E206"/>
  <c r="G273" i="7"/>
  <c r="G170"/>
  <c r="G101"/>
  <c r="G171" s="1"/>
  <c r="E161"/>
  <c r="E162"/>
  <c r="E172"/>
  <c r="E173"/>
  <c r="F102"/>
  <c r="F258" s="1"/>
  <c r="H92"/>
  <c r="H247" s="1"/>
  <c r="D140"/>
  <c r="H158"/>
  <c r="E139"/>
  <c r="D168"/>
  <c r="D79"/>
  <c r="H98"/>
  <c r="D53"/>
  <c r="H100"/>
  <c r="E80"/>
  <c r="D109"/>
  <c r="D77"/>
  <c r="H96"/>
  <c r="G235"/>
  <c r="H235" s="1"/>
  <c r="G281" i="6"/>
  <c r="H281" s="1"/>
  <c r="F290" s="1"/>
  <c r="G290" s="1"/>
  <c r="H290" s="1"/>
  <c r="F299" s="1"/>
  <c r="H294"/>
  <c r="H298" s="1"/>
  <c r="G298"/>
  <c r="F137" i="4"/>
  <c r="E166"/>
  <c r="H138"/>
  <c r="G167"/>
  <c r="D251"/>
  <c r="D100"/>
  <c r="D254" s="1"/>
  <c r="H91"/>
  <c r="H244" s="1"/>
  <c r="F161"/>
  <c r="F246" s="1"/>
  <c r="F245" s="1"/>
  <c r="F249" s="1"/>
  <c r="F250" s="1"/>
  <c r="F251" s="1"/>
  <c r="E161"/>
  <c r="E246" s="1"/>
  <c r="E245" s="1"/>
  <c r="E249" s="1"/>
  <c r="E250" s="1"/>
  <c r="E251" s="1"/>
  <c r="G244"/>
  <c r="G160"/>
  <c r="G161" s="1"/>
  <c r="G246" s="1"/>
  <c r="G245" s="1"/>
  <c r="H44"/>
  <c r="G96"/>
  <c r="H45"/>
  <c r="G97"/>
  <c r="H46"/>
  <c r="G98"/>
  <c r="G42"/>
  <c r="F94"/>
  <c r="F168" s="1"/>
  <c r="E99"/>
  <c r="H43"/>
  <c r="G95"/>
  <c r="G214"/>
  <c r="H214" s="1"/>
  <c r="F223" s="1"/>
  <c r="F232" s="1"/>
  <c r="G232" s="1"/>
  <c r="H232" s="1"/>
  <c r="H40" i="1"/>
  <c r="H83" s="1"/>
  <c r="G46"/>
  <c r="H216"/>
  <c r="D319" s="1"/>
  <c r="F319" s="1"/>
  <c r="G319" s="1"/>
  <c r="H319" s="1"/>
  <c r="H204" i="10"/>
  <c r="H202"/>
  <c r="H292"/>
  <c r="G283" i="9"/>
  <c r="F284"/>
  <c r="G267"/>
  <c r="H267" s="1"/>
  <c r="F276" s="1"/>
  <c r="G276" s="1"/>
  <c r="H276" s="1"/>
  <c r="F84"/>
  <c r="F210" s="1"/>
  <c r="E207"/>
  <c r="E210"/>
  <c r="E115"/>
  <c r="E222" s="1"/>
  <c r="G217" i="1"/>
  <c r="F265"/>
  <c r="D276"/>
  <c r="H243"/>
  <c r="G254"/>
  <c r="F249"/>
  <c r="D258"/>
  <c r="G238"/>
  <c r="D308"/>
  <c r="D312" s="1"/>
  <c r="D313" s="1"/>
  <c r="D314" s="1"/>
  <c r="E174"/>
  <c r="E311" s="1"/>
  <c r="E308" s="1"/>
  <c r="E312" s="1"/>
  <c r="E313" s="1"/>
  <c r="E314" s="1"/>
  <c r="F205" i="10"/>
  <c r="F294" s="1"/>
  <c r="F293" s="1"/>
  <c r="H68" i="9"/>
  <c r="G99"/>
  <c r="G209"/>
  <c r="G221"/>
  <c r="F111"/>
  <c r="F114" s="1"/>
  <c r="G112"/>
  <c r="G68"/>
  <c r="F307" i="1"/>
  <c r="F172"/>
  <c r="F173"/>
  <c r="F223" i="6"/>
  <c r="F314" s="1"/>
  <c r="D235"/>
  <c r="D229"/>
  <c r="G222"/>
  <c r="G216"/>
  <c r="F240"/>
  <c r="F241"/>
  <c r="E123"/>
  <c r="E322" s="1"/>
  <c r="H85"/>
  <c r="H312" s="1"/>
  <c r="F122"/>
  <c r="F234" s="1"/>
  <c r="G119"/>
  <c r="E313"/>
  <c r="F117"/>
  <c r="F102"/>
  <c r="F231" s="1"/>
  <c r="G99"/>
  <c r="G104"/>
  <c r="G107" s="1"/>
  <c r="G232" s="1"/>
  <c r="G109"/>
  <c r="G112" s="1"/>
  <c r="G233" s="1"/>
  <c r="G114"/>
  <c r="G94"/>
  <c r="G97" s="1"/>
  <c r="G230" s="1"/>
  <c r="H88" i="1"/>
  <c r="H86"/>
  <c r="E102"/>
  <c r="H81"/>
  <c r="H85"/>
  <c r="H82"/>
  <c r="G102" i="7" l="1"/>
  <c r="G258" s="1"/>
  <c r="G268" i="10"/>
  <c r="H268" s="1"/>
  <c r="F278" s="1"/>
  <c r="G278" s="1"/>
  <c r="H278" s="1"/>
  <c r="E297"/>
  <c r="E298" s="1"/>
  <c r="E299" s="1"/>
  <c r="F297"/>
  <c r="F298" s="1"/>
  <c r="F299" s="1"/>
  <c r="F137"/>
  <c r="F211" s="1"/>
  <c r="H210"/>
  <c r="D189"/>
  <c r="E211"/>
  <c r="E212"/>
  <c r="E213"/>
  <c r="H183"/>
  <c r="G209"/>
  <c r="H51"/>
  <c r="G129"/>
  <c r="D65"/>
  <c r="H131"/>
  <c r="E66"/>
  <c r="D145"/>
  <c r="D69"/>
  <c r="H135"/>
  <c r="H56"/>
  <c r="G134"/>
  <c r="E67"/>
  <c r="D146"/>
  <c r="D64"/>
  <c r="H130"/>
  <c r="D222" i="9"/>
  <c r="D217"/>
  <c r="D219"/>
  <c r="D309"/>
  <c r="D211"/>
  <c r="D300" s="1"/>
  <c r="D299" s="1"/>
  <c r="D303" s="1"/>
  <c r="D304" s="1"/>
  <c r="D305" s="1"/>
  <c r="H217" i="1"/>
  <c r="F228" s="1"/>
  <c r="G228" s="1"/>
  <c r="H228" s="1"/>
  <c r="F239" s="1"/>
  <c r="F139" i="9"/>
  <c r="D123"/>
  <c r="D133"/>
  <c r="D132" s="1"/>
  <c r="D136" s="1"/>
  <c r="D232" s="1"/>
  <c r="D124"/>
  <c r="D125"/>
  <c r="D140"/>
  <c r="H209"/>
  <c r="H221"/>
  <c r="F207"/>
  <c r="H99"/>
  <c r="F47"/>
  <c r="E49"/>
  <c r="E52" s="1"/>
  <c r="E122" s="1"/>
  <c r="E138" s="1"/>
  <c r="E233" s="1"/>
  <c r="F206"/>
  <c r="H273" i="7"/>
  <c r="H101"/>
  <c r="H171" s="1"/>
  <c r="H170"/>
  <c r="G162"/>
  <c r="G172"/>
  <c r="G173"/>
  <c r="G161"/>
  <c r="G163" s="1"/>
  <c r="G249" s="1"/>
  <c r="G248" s="1"/>
  <c r="G252" s="1"/>
  <c r="G253" s="1"/>
  <c r="G254" s="1"/>
  <c r="E140"/>
  <c r="D169"/>
  <c r="D174" s="1"/>
  <c r="D260" s="1"/>
  <c r="D259" s="1"/>
  <c r="D263" s="1"/>
  <c r="D264" s="1"/>
  <c r="D265" s="1"/>
  <c r="F139"/>
  <c r="E168"/>
  <c r="F172"/>
  <c r="F173"/>
  <c r="F161"/>
  <c r="F163" s="1"/>
  <c r="F249" s="1"/>
  <c r="F248" s="1"/>
  <c r="F252" s="1"/>
  <c r="F253" s="1"/>
  <c r="F254" s="1"/>
  <c r="F162"/>
  <c r="E163"/>
  <c r="E249" s="1"/>
  <c r="E248" s="1"/>
  <c r="E252" s="1"/>
  <c r="E253" s="1"/>
  <c r="E254" s="1"/>
  <c r="F80"/>
  <c r="E109"/>
  <c r="E77"/>
  <c r="D106"/>
  <c r="E53"/>
  <c r="D110"/>
  <c r="E79"/>
  <c r="D108"/>
  <c r="G299" i="6"/>
  <c r="H299" s="1"/>
  <c r="H159" i="4"/>
  <c r="D171"/>
  <c r="D170"/>
  <c r="D143"/>
  <c r="H167"/>
  <c r="G137"/>
  <c r="F166"/>
  <c r="E100"/>
  <c r="E254" s="1"/>
  <c r="E169"/>
  <c r="G249"/>
  <c r="G250" s="1"/>
  <c r="G251" s="1"/>
  <c r="H160"/>
  <c r="H161" s="1"/>
  <c r="H246" s="1"/>
  <c r="H245" s="1"/>
  <c r="H249" s="1"/>
  <c r="H250" s="1"/>
  <c r="H251" s="1"/>
  <c r="H42"/>
  <c r="G94"/>
  <c r="G168" s="1"/>
  <c r="D53"/>
  <c r="H97"/>
  <c r="D51"/>
  <c r="H95"/>
  <c r="F99"/>
  <c r="D54"/>
  <c r="H98"/>
  <c r="D52"/>
  <c r="H96"/>
  <c r="H46" i="1"/>
  <c r="E98"/>
  <c r="H283" i="9"/>
  <c r="H284" s="1"/>
  <c r="G284"/>
  <c r="F285"/>
  <c r="F205"/>
  <c r="F298"/>
  <c r="E309"/>
  <c r="E217"/>
  <c r="E218"/>
  <c r="E211"/>
  <c r="E300" s="1"/>
  <c r="E299" s="1"/>
  <c r="E303" s="1"/>
  <c r="E304" s="1"/>
  <c r="E305" s="1"/>
  <c r="E219"/>
  <c r="H84"/>
  <c r="H298" s="1"/>
  <c r="G265" i="1"/>
  <c r="H236"/>
  <c r="H238" s="1"/>
  <c r="E329"/>
  <c r="F329" s="1"/>
  <c r="G329" s="1"/>
  <c r="H329" s="1"/>
  <c r="H254"/>
  <c r="F276"/>
  <c r="F282" s="1"/>
  <c r="D287"/>
  <c r="F287" s="1"/>
  <c r="F293" s="1"/>
  <c r="G247"/>
  <c r="G249" s="1"/>
  <c r="D269"/>
  <c r="F258"/>
  <c r="F260" s="1"/>
  <c r="G205" i="10"/>
  <c r="G294" s="1"/>
  <c r="G293" s="1"/>
  <c r="G297" s="1"/>
  <c r="F174" i="1"/>
  <c r="F311" s="1"/>
  <c r="F308" s="1"/>
  <c r="F312" s="1"/>
  <c r="F313" s="1"/>
  <c r="F314" s="1"/>
  <c r="H112" i="9"/>
  <c r="G111"/>
  <c r="G114" s="1"/>
  <c r="F115"/>
  <c r="G84"/>
  <c r="G307" i="1"/>
  <c r="G173"/>
  <c r="G172"/>
  <c r="D236" i="6"/>
  <c r="D324" s="1"/>
  <c r="D323" s="1"/>
  <c r="D327" s="1"/>
  <c r="D328" s="1"/>
  <c r="D329" s="1"/>
  <c r="E235"/>
  <c r="E229"/>
  <c r="H222"/>
  <c r="H216"/>
  <c r="G223"/>
  <c r="G314" s="1"/>
  <c r="G313" s="1"/>
  <c r="F123"/>
  <c r="F322" s="1"/>
  <c r="G241"/>
  <c r="G240"/>
  <c r="G122"/>
  <c r="G234" s="1"/>
  <c r="H119"/>
  <c r="D313"/>
  <c r="E317"/>
  <c r="F313"/>
  <c r="G117"/>
  <c r="G102"/>
  <c r="H94"/>
  <c r="H97" s="1"/>
  <c r="H230" s="1"/>
  <c r="H104"/>
  <c r="H107" s="1"/>
  <c r="H232" s="1"/>
  <c r="H114"/>
  <c r="H99"/>
  <c r="H109"/>
  <c r="H112" s="1"/>
  <c r="H233" s="1"/>
  <c r="E100" i="1"/>
  <c r="E103"/>
  <c r="F102"/>
  <c r="E97"/>
  <c r="E101"/>
  <c r="H102" i="7" l="1"/>
  <c r="H258" s="1"/>
  <c r="E105" i="1"/>
  <c r="F213" i="10"/>
  <c r="F303"/>
  <c r="F212"/>
  <c r="D219"/>
  <c r="E189"/>
  <c r="E214"/>
  <c r="E305" s="1"/>
  <c r="E304" s="1"/>
  <c r="H209"/>
  <c r="D188"/>
  <c r="G137"/>
  <c r="G303" s="1"/>
  <c r="E64"/>
  <c r="D143"/>
  <c r="D68"/>
  <c r="H134"/>
  <c r="F66"/>
  <c r="E145"/>
  <c r="D63"/>
  <c r="H129"/>
  <c r="H137" s="1"/>
  <c r="H303" s="1"/>
  <c r="F67"/>
  <c r="E146"/>
  <c r="E69"/>
  <c r="D148"/>
  <c r="E65"/>
  <c r="D144"/>
  <c r="D223" i="9"/>
  <c r="D311" s="1"/>
  <c r="D310" s="1"/>
  <c r="D314" s="1"/>
  <c r="D315" s="1"/>
  <c r="D316" s="1"/>
  <c r="D130"/>
  <c r="E133"/>
  <c r="E132" s="1"/>
  <c r="E136" s="1"/>
  <c r="E232" s="1"/>
  <c r="E125"/>
  <c r="E140"/>
  <c r="E124"/>
  <c r="E123"/>
  <c r="G139"/>
  <c r="H111"/>
  <c r="H114" s="1"/>
  <c r="H115" s="1"/>
  <c r="H219" s="1"/>
  <c r="D143"/>
  <c r="F211"/>
  <c r="F300" s="1"/>
  <c r="F299" s="1"/>
  <c r="F303" s="1"/>
  <c r="F304" s="1"/>
  <c r="F305" s="1"/>
  <c r="F49"/>
  <c r="F52" s="1"/>
  <c r="F122" s="1"/>
  <c r="F138" s="1"/>
  <c r="F233" s="1"/>
  <c r="G47"/>
  <c r="H206"/>
  <c r="D111" i="7"/>
  <c r="D112" s="1"/>
  <c r="G139"/>
  <c r="F168"/>
  <c r="F140"/>
  <c r="E169"/>
  <c r="E174" s="1"/>
  <c r="E260" s="1"/>
  <c r="E259" s="1"/>
  <c r="E263" s="1"/>
  <c r="E264" s="1"/>
  <c r="E265" s="1"/>
  <c r="F79"/>
  <c r="E108"/>
  <c r="F77"/>
  <c r="E106"/>
  <c r="F53"/>
  <c r="E110"/>
  <c r="G80"/>
  <c r="F109"/>
  <c r="D172" i="4"/>
  <c r="D256" s="1"/>
  <c r="D255" s="1"/>
  <c r="D259" s="1"/>
  <c r="F100"/>
  <c r="F254" s="1"/>
  <c r="F169"/>
  <c r="E170"/>
  <c r="E171"/>
  <c r="E143"/>
  <c r="D177"/>
  <c r="H137"/>
  <c r="G166"/>
  <c r="G99"/>
  <c r="E52"/>
  <c r="D105"/>
  <c r="E53"/>
  <c r="D106"/>
  <c r="E54"/>
  <c r="D107"/>
  <c r="E51"/>
  <c r="D104"/>
  <c r="D50"/>
  <c r="H94"/>
  <c r="H168" s="1"/>
  <c r="D60" i="1"/>
  <c r="H265"/>
  <c r="H271" s="1"/>
  <c r="G285" i="9"/>
  <c r="H285" s="1"/>
  <c r="E223"/>
  <c r="E311" s="1"/>
  <c r="E310" s="1"/>
  <c r="E314" s="1"/>
  <c r="E315" s="1"/>
  <c r="E316" s="1"/>
  <c r="H207"/>
  <c r="H210"/>
  <c r="H205"/>
  <c r="G258" i="1"/>
  <c r="G260" s="1"/>
  <c r="H247"/>
  <c r="H249" s="1"/>
  <c r="G276"/>
  <c r="G282" s="1"/>
  <c r="G239"/>
  <c r="H239" s="1"/>
  <c r="F250" s="1"/>
  <c r="D280"/>
  <c r="D291" s="1"/>
  <c r="F269"/>
  <c r="F271" s="1"/>
  <c r="H205" i="10"/>
  <c r="H294" s="1"/>
  <c r="H293" s="1"/>
  <c r="H297" s="1"/>
  <c r="G298"/>
  <c r="G299" s="1"/>
  <c r="G205" i="9"/>
  <c r="G210"/>
  <c r="G298"/>
  <c r="G206"/>
  <c r="G207"/>
  <c r="F217"/>
  <c r="F218"/>
  <c r="F219"/>
  <c r="F309"/>
  <c r="F222"/>
  <c r="G115"/>
  <c r="H307" i="1"/>
  <c r="H172"/>
  <c r="H173"/>
  <c r="G174"/>
  <c r="G311" s="1"/>
  <c r="G308" s="1"/>
  <c r="G312" s="1"/>
  <c r="G313" s="1"/>
  <c r="G314" s="1"/>
  <c r="H223" i="6"/>
  <c r="H314" s="1"/>
  <c r="H313" s="1"/>
  <c r="F235"/>
  <c r="F229"/>
  <c r="E236"/>
  <c r="E324" s="1"/>
  <c r="E323" s="1"/>
  <c r="E327" s="1"/>
  <c r="G123"/>
  <c r="G322" s="1"/>
  <c r="G231"/>
  <c r="H240"/>
  <c r="H241"/>
  <c r="G317"/>
  <c r="G318" s="1"/>
  <c r="G319" s="1"/>
  <c r="D317"/>
  <c r="D318" s="1"/>
  <c r="D319" s="1"/>
  <c r="D243"/>
  <c r="D245"/>
  <c r="D246"/>
  <c r="H122"/>
  <c r="H234" s="1"/>
  <c r="F317"/>
  <c r="F318" s="1"/>
  <c r="F319" s="1"/>
  <c r="E318"/>
  <c r="E319" s="1"/>
  <c r="H102"/>
  <c r="H231" s="1"/>
  <c r="H117"/>
  <c r="F103" i="1"/>
  <c r="F101"/>
  <c r="F98"/>
  <c r="F96"/>
  <c r="E60"/>
  <c r="G102"/>
  <c r="F100"/>
  <c r="F97"/>
  <c r="E157" i="6" l="1"/>
  <c r="E160" s="1"/>
  <c r="E142"/>
  <c r="E145" s="1"/>
  <c r="E245" s="1"/>
  <c r="E137"/>
  <c r="E140" s="1"/>
  <c r="E152"/>
  <c r="E155" s="1"/>
  <c r="E132"/>
  <c r="E135" s="1"/>
  <c r="E243" s="1"/>
  <c r="E147"/>
  <c r="E150" s="1"/>
  <c r="E246" s="1"/>
  <c r="H162" i="7"/>
  <c r="H161"/>
  <c r="H163" s="1"/>
  <c r="H249" s="1"/>
  <c r="H248" s="1"/>
  <c r="H252" s="1"/>
  <c r="H253" s="1"/>
  <c r="H254" s="1"/>
  <c r="H173"/>
  <c r="D269"/>
  <c r="D183"/>
  <c r="D184"/>
  <c r="D181"/>
  <c r="D182"/>
  <c r="H172"/>
  <c r="F105" i="1"/>
  <c r="E318" i="10"/>
  <c r="F318" s="1"/>
  <c r="G318" s="1"/>
  <c r="H318" s="1"/>
  <c r="E308"/>
  <c r="F214"/>
  <c r="F305" s="1"/>
  <c r="F304" s="1"/>
  <c r="F308" s="1"/>
  <c r="F309" s="1"/>
  <c r="F310" s="1"/>
  <c r="H211"/>
  <c r="H212"/>
  <c r="H213"/>
  <c r="G211"/>
  <c r="G212"/>
  <c r="G213"/>
  <c r="D218"/>
  <c r="E188"/>
  <c r="E219"/>
  <c r="F189"/>
  <c r="F65"/>
  <c r="E144"/>
  <c r="G67"/>
  <c r="F146"/>
  <c r="G66"/>
  <c r="F145"/>
  <c r="F64"/>
  <c r="E143"/>
  <c r="F69"/>
  <c r="E148"/>
  <c r="E63"/>
  <c r="D142"/>
  <c r="E68"/>
  <c r="D147"/>
  <c r="F124" i="9"/>
  <c r="F133"/>
  <c r="F132" s="1"/>
  <c r="F136" s="1"/>
  <c r="F232" s="1"/>
  <c r="F140"/>
  <c r="F125"/>
  <c r="F123"/>
  <c r="E143"/>
  <c r="D142"/>
  <c r="D145" s="1"/>
  <c r="D146" s="1"/>
  <c r="D320" s="1"/>
  <c r="E130"/>
  <c r="H139"/>
  <c r="H47"/>
  <c r="H49" s="1"/>
  <c r="H52" s="1"/>
  <c r="H122" s="1"/>
  <c r="G49"/>
  <c r="G52" s="1"/>
  <c r="G122" s="1"/>
  <c r="H222"/>
  <c r="D260" i="4"/>
  <c r="D261" s="1"/>
  <c r="G140" i="7"/>
  <c r="F169"/>
  <c r="F174" s="1"/>
  <c r="F260" s="1"/>
  <c r="F259" s="1"/>
  <c r="F263" s="1"/>
  <c r="F264" s="1"/>
  <c r="F265" s="1"/>
  <c r="E111"/>
  <c r="H139"/>
  <c r="G168"/>
  <c r="G53"/>
  <c r="F110"/>
  <c r="G79"/>
  <c r="F108"/>
  <c r="H80"/>
  <c r="H109" s="1"/>
  <c r="G109"/>
  <c r="G77"/>
  <c r="F106"/>
  <c r="E328" i="6"/>
  <c r="E329" s="1"/>
  <c r="E172" i="4"/>
  <c r="E256" s="1"/>
  <c r="E255" s="1"/>
  <c r="E259" s="1"/>
  <c r="E260" s="1"/>
  <c r="E261" s="1"/>
  <c r="F171"/>
  <c r="F170"/>
  <c r="G100"/>
  <c r="G254" s="1"/>
  <c r="G169"/>
  <c r="D142"/>
  <c r="H166"/>
  <c r="F143"/>
  <c r="E177"/>
  <c r="E50"/>
  <c r="D103"/>
  <c r="F54"/>
  <c r="E107"/>
  <c r="F52"/>
  <c r="E105"/>
  <c r="F51"/>
  <c r="E104"/>
  <c r="F53"/>
  <c r="E106"/>
  <c r="H99"/>
  <c r="H211" i="9"/>
  <c r="H300" s="1"/>
  <c r="H299" s="1"/>
  <c r="H303" s="1"/>
  <c r="H304" s="1"/>
  <c r="H305" s="1"/>
  <c r="H309"/>
  <c r="H217"/>
  <c r="H218"/>
  <c r="G250" i="1"/>
  <c r="H250" s="1"/>
  <c r="F261" s="1"/>
  <c r="H276"/>
  <c r="H282" s="1"/>
  <c r="G269"/>
  <c r="G271" s="1"/>
  <c r="H258"/>
  <c r="H260" s="1"/>
  <c r="H298" i="10"/>
  <c r="H299" s="1"/>
  <c r="H174" i="1"/>
  <c r="H311" s="1"/>
  <c r="H308" s="1"/>
  <c r="H312" s="1"/>
  <c r="H313" s="1"/>
  <c r="H314" s="1"/>
  <c r="G211" i="9"/>
  <c r="G300" s="1"/>
  <c r="G299" s="1"/>
  <c r="G303" s="1"/>
  <c r="G309"/>
  <c r="G222"/>
  <c r="G219"/>
  <c r="G217"/>
  <c r="G218"/>
  <c r="F223"/>
  <c r="F311" s="1"/>
  <c r="F310" s="1"/>
  <c r="F314" s="1"/>
  <c r="D317" i="1"/>
  <c r="D180"/>
  <c r="D181"/>
  <c r="G229" i="6"/>
  <c r="G235"/>
  <c r="F236"/>
  <c r="F324" s="1"/>
  <c r="F323" s="1"/>
  <c r="F327" s="1"/>
  <c r="F328" s="1"/>
  <c r="F329" s="1"/>
  <c r="H123"/>
  <c r="H322" s="1"/>
  <c r="D247"/>
  <c r="H317"/>
  <c r="H318" s="1"/>
  <c r="H319" s="1"/>
  <c r="D244"/>
  <c r="G100" i="1"/>
  <c r="G103"/>
  <c r="H102"/>
  <c r="G101"/>
  <c r="G98"/>
  <c r="G97"/>
  <c r="G96"/>
  <c r="F60"/>
  <c r="F147" i="6" l="1"/>
  <c r="F150" s="1"/>
  <c r="F246" s="1"/>
  <c r="F157"/>
  <c r="F160" s="1"/>
  <c r="F142"/>
  <c r="F145" s="1"/>
  <c r="F245" s="1"/>
  <c r="F137"/>
  <c r="F140" s="1"/>
  <c r="F152"/>
  <c r="F155" s="1"/>
  <c r="F132"/>
  <c r="F135" s="1"/>
  <c r="F243" s="1"/>
  <c r="E112" i="7"/>
  <c r="E181"/>
  <c r="E182"/>
  <c r="G105" i="1"/>
  <c r="E309" i="10"/>
  <c r="E310" s="1"/>
  <c r="H214"/>
  <c r="H305" s="1"/>
  <c r="H304" s="1"/>
  <c r="H308" s="1"/>
  <c r="H309" s="1"/>
  <c r="H310" s="1"/>
  <c r="F219"/>
  <c r="G189"/>
  <c r="E218"/>
  <c r="F188"/>
  <c r="G214"/>
  <c r="G305" s="1"/>
  <c r="G304" s="1"/>
  <c r="G308" s="1"/>
  <c r="G309" s="1"/>
  <c r="G310" s="1"/>
  <c r="F68"/>
  <c r="E147"/>
  <c r="G69"/>
  <c r="F148"/>
  <c r="H66"/>
  <c r="H145" s="1"/>
  <c r="G145"/>
  <c r="G65"/>
  <c r="F144"/>
  <c r="F63"/>
  <c r="E142"/>
  <c r="E150" s="1"/>
  <c r="E314" s="1"/>
  <c r="G64"/>
  <c r="F143"/>
  <c r="H67"/>
  <c r="H146" s="1"/>
  <c r="G146"/>
  <c r="D150"/>
  <c r="D314" s="1"/>
  <c r="D231" i="9"/>
  <c r="D230"/>
  <c r="D229"/>
  <c r="D234"/>
  <c r="H138"/>
  <c r="H233" s="1"/>
  <c r="F130"/>
  <c r="G124"/>
  <c r="G125"/>
  <c r="G133"/>
  <c r="G132" s="1"/>
  <c r="G136" s="1"/>
  <c r="G232" s="1"/>
  <c r="G123"/>
  <c r="G140"/>
  <c r="E142"/>
  <c r="E145" s="1"/>
  <c r="E146" s="1"/>
  <c r="E320" s="1"/>
  <c r="F143"/>
  <c r="G138"/>
  <c r="G233" s="1"/>
  <c r="H124"/>
  <c r="H133"/>
  <c r="H132" s="1"/>
  <c r="H136" s="1"/>
  <c r="H232" s="1"/>
  <c r="H123"/>
  <c r="H140"/>
  <c r="H125"/>
  <c r="D144" i="7"/>
  <c r="H168"/>
  <c r="G174"/>
  <c r="G260" s="1"/>
  <c r="G259" s="1"/>
  <c r="G263" s="1"/>
  <c r="G264" s="1"/>
  <c r="G265" s="1"/>
  <c r="H140"/>
  <c r="G169"/>
  <c r="F111"/>
  <c r="F112" s="1"/>
  <c r="H79"/>
  <c r="H108" s="1"/>
  <c r="G108"/>
  <c r="H53"/>
  <c r="H110" s="1"/>
  <c r="G110"/>
  <c r="H77"/>
  <c r="H106" s="1"/>
  <c r="G106"/>
  <c r="F172" i="4"/>
  <c r="F256" s="1"/>
  <c r="F255" s="1"/>
  <c r="F259" s="1"/>
  <c r="F260" s="1"/>
  <c r="F261" s="1"/>
  <c r="D108"/>
  <c r="D178"/>
  <c r="H100"/>
  <c r="H254" s="1"/>
  <c r="H169"/>
  <c r="G143"/>
  <c r="F177"/>
  <c r="G170"/>
  <c r="G171"/>
  <c r="E142"/>
  <c r="D176"/>
  <c r="G53"/>
  <c r="F106"/>
  <c r="G52"/>
  <c r="F105"/>
  <c r="F50"/>
  <c r="E103"/>
  <c r="G51"/>
  <c r="F104"/>
  <c r="G54"/>
  <c r="F107"/>
  <c r="H223" i="9"/>
  <c r="H311" s="1"/>
  <c r="H310" s="1"/>
  <c r="H314" s="1"/>
  <c r="H315" s="1"/>
  <c r="H316" s="1"/>
  <c r="G261" i="1"/>
  <c r="H261" s="1"/>
  <c r="F272" s="1"/>
  <c r="G272" s="1"/>
  <c r="H272" s="1"/>
  <c r="F283" s="1"/>
  <c r="G283" s="1"/>
  <c r="H283" s="1"/>
  <c r="F294" s="1"/>
  <c r="G223" i="9"/>
  <c r="G311" s="1"/>
  <c r="G310" s="1"/>
  <c r="G314" s="1"/>
  <c r="D182" i="1"/>
  <c r="D321" s="1"/>
  <c r="D318" s="1"/>
  <c r="D322" s="1"/>
  <c r="D323" s="1"/>
  <c r="D324" s="1"/>
  <c r="G304" i="9"/>
  <c r="G305" s="1"/>
  <c r="F315"/>
  <c r="F316" s="1"/>
  <c r="E317" i="1"/>
  <c r="E180"/>
  <c r="E181"/>
  <c r="G236" i="6"/>
  <c r="G324" s="1"/>
  <c r="G323" s="1"/>
  <c r="G327" s="1"/>
  <c r="G328" s="1"/>
  <c r="G329" s="1"/>
  <c r="H235"/>
  <c r="H229"/>
  <c r="D161"/>
  <c r="D332" s="1"/>
  <c r="E247"/>
  <c r="E244"/>
  <c r="D117" i="1"/>
  <c r="H96"/>
  <c r="G60"/>
  <c r="H100"/>
  <c r="H101"/>
  <c r="H98"/>
  <c r="H97"/>
  <c r="H103"/>
  <c r="G152" i="6" l="1"/>
  <c r="G155" s="1"/>
  <c r="G132"/>
  <c r="G135" s="1"/>
  <c r="G243" s="1"/>
  <c r="G147"/>
  <c r="G150" s="1"/>
  <c r="G246" s="1"/>
  <c r="G157"/>
  <c r="G160" s="1"/>
  <c r="G142"/>
  <c r="G145" s="1"/>
  <c r="G245" s="1"/>
  <c r="G137"/>
  <c r="G140" s="1"/>
  <c r="E144" i="7"/>
  <c r="D179"/>
  <c r="F269"/>
  <c r="F183"/>
  <c r="F184"/>
  <c r="E269"/>
  <c r="E183"/>
  <c r="E184"/>
  <c r="F181"/>
  <c r="F182"/>
  <c r="G172" i="4"/>
  <c r="G256" s="1"/>
  <c r="G255" s="1"/>
  <c r="G259" s="1"/>
  <c r="G260" s="1"/>
  <c r="G261" s="1"/>
  <c r="H105" i="1"/>
  <c r="D220" i="10"/>
  <c r="D221"/>
  <c r="D222"/>
  <c r="F218"/>
  <c r="G188"/>
  <c r="G219"/>
  <c r="H189"/>
  <c r="H219" s="1"/>
  <c r="E220"/>
  <c r="E221"/>
  <c r="E222"/>
  <c r="G63"/>
  <c r="F142"/>
  <c r="G68"/>
  <c r="F147"/>
  <c r="H64"/>
  <c r="H143" s="1"/>
  <c r="G143"/>
  <c r="H65"/>
  <c r="H144" s="1"/>
  <c r="G144"/>
  <c r="H69"/>
  <c r="H148" s="1"/>
  <c r="G148"/>
  <c r="H130" i="9"/>
  <c r="E234"/>
  <c r="E229"/>
  <c r="E230"/>
  <c r="E231"/>
  <c r="D235"/>
  <c r="D322" s="1"/>
  <c r="D321" s="1"/>
  <c r="D325" s="1"/>
  <c r="D326" s="1"/>
  <c r="D327" s="1"/>
  <c r="F142"/>
  <c r="F145" s="1"/>
  <c r="F146" s="1"/>
  <c r="F320" s="1"/>
  <c r="G143"/>
  <c r="G130"/>
  <c r="H111" i="7"/>
  <c r="G111"/>
  <c r="D145"/>
  <c r="H169"/>
  <c r="H174" s="1"/>
  <c r="H260" s="1"/>
  <c r="H259" s="1"/>
  <c r="H263" s="1"/>
  <c r="H170" i="4"/>
  <c r="H171"/>
  <c r="F142"/>
  <c r="E176"/>
  <c r="H143"/>
  <c r="H177" s="1"/>
  <c r="G177"/>
  <c r="D109"/>
  <c r="D264" s="1"/>
  <c r="D179"/>
  <c r="E108"/>
  <c r="E178"/>
  <c r="H51"/>
  <c r="H104" s="1"/>
  <c r="G104"/>
  <c r="H52"/>
  <c r="H105" s="1"/>
  <c r="G105"/>
  <c r="H54"/>
  <c r="H107" s="1"/>
  <c r="G107"/>
  <c r="G50"/>
  <c r="F103"/>
  <c r="H53"/>
  <c r="H106" s="1"/>
  <c r="G106"/>
  <c r="G315" i="9"/>
  <c r="G316" s="1"/>
  <c r="F317" i="1"/>
  <c r="F180"/>
  <c r="F181"/>
  <c r="D242" i="6"/>
  <c r="D248"/>
  <c r="H236"/>
  <c r="H324" s="1"/>
  <c r="H323" s="1"/>
  <c r="H327" s="1"/>
  <c r="H328" s="1"/>
  <c r="H329" s="1"/>
  <c r="E161"/>
  <c r="E332" s="1"/>
  <c r="F247"/>
  <c r="F244"/>
  <c r="D115" i="1"/>
  <c r="D118"/>
  <c r="H60"/>
  <c r="D113"/>
  <c r="D111"/>
  <c r="D112"/>
  <c r="E117"/>
  <c r="D116"/>
  <c r="H137" i="6" l="1"/>
  <c r="H140" s="1"/>
  <c r="H147"/>
  <c r="H150" s="1"/>
  <c r="H246" s="1"/>
  <c r="H152"/>
  <c r="H155" s="1"/>
  <c r="H132"/>
  <c r="H135" s="1"/>
  <c r="H243" s="1"/>
  <c r="H157"/>
  <c r="H160" s="1"/>
  <c r="H142"/>
  <c r="H145" s="1"/>
  <c r="H245" s="1"/>
  <c r="F144" i="7"/>
  <c r="E179"/>
  <c r="E145"/>
  <c r="D180"/>
  <c r="D185" s="1"/>
  <c r="D271" s="1"/>
  <c r="D270" s="1"/>
  <c r="D274" s="1"/>
  <c r="D275" s="1"/>
  <c r="D276" s="1"/>
  <c r="H182"/>
  <c r="H181"/>
  <c r="G112"/>
  <c r="G182"/>
  <c r="G181"/>
  <c r="H264"/>
  <c r="H265" s="1"/>
  <c r="H112"/>
  <c r="D120" i="1"/>
  <c r="F150" i="10"/>
  <c r="D223"/>
  <c r="D316" s="1"/>
  <c r="D315" s="1"/>
  <c r="D319" s="1"/>
  <c r="D320" s="1"/>
  <c r="D321" s="1"/>
  <c r="E223"/>
  <c r="E316" s="1"/>
  <c r="E315" s="1"/>
  <c r="E319" s="1"/>
  <c r="E320" s="1"/>
  <c r="E321" s="1"/>
  <c r="G218"/>
  <c r="H188"/>
  <c r="H218" s="1"/>
  <c r="H63"/>
  <c r="H142" s="1"/>
  <c r="G142"/>
  <c r="H68"/>
  <c r="H147" s="1"/>
  <c r="G147"/>
  <c r="F229" i="9"/>
  <c r="F230"/>
  <c r="F231"/>
  <c r="F234"/>
  <c r="E235"/>
  <c r="E322" s="1"/>
  <c r="E321" s="1"/>
  <c r="E325" s="1"/>
  <c r="E326" s="1"/>
  <c r="E327" s="1"/>
  <c r="G142"/>
  <c r="G145" s="1"/>
  <c r="G146" s="1"/>
  <c r="G320" s="1"/>
  <c r="H143"/>
  <c r="H142" s="1"/>
  <c r="H145" s="1"/>
  <c r="H146" s="1"/>
  <c r="H320" s="1"/>
  <c r="H172" i="4"/>
  <c r="H256" s="1"/>
  <c r="H255" s="1"/>
  <c r="H259" s="1"/>
  <c r="H260" s="1"/>
  <c r="H261" s="1"/>
  <c r="E109"/>
  <c r="E264" s="1"/>
  <c r="E179"/>
  <c r="F108"/>
  <c r="F179" s="1"/>
  <c r="F178"/>
  <c r="D180"/>
  <c r="D181"/>
  <c r="G142"/>
  <c r="F176"/>
  <c r="H50"/>
  <c r="H103" s="1"/>
  <c r="G103"/>
  <c r="G178" s="1"/>
  <c r="G317" i="1"/>
  <c r="G180"/>
  <c r="G181"/>
  <c r="E118"/>
  <c r="D249" i="6"/>
  <c r="D334" s="1"/>
  <c r="D333" s="1"/>
  <c r="D337" s="1"/>
  <c r="D338" s="1"/>
  <c r="D339" s="1"/>
  <c r="E248"/>
  <c r="E242"/>
  <c r="F161"/>
  <c r="F332" s="1"/>
  <c r="G247"/>
  <c r="G244"/>
  <c r="D74" i="1"/>
  <c r="E111"/>
  <c r="E115"/>
  <c r="E112"/>
  <c r="E113"/>
  <c r="E116"/>
  <c r="F117"/>
  <c r="F235" i="9" l="1"/>
  <c r="F322" s="1"/>
  <c r="F321" s="1"/>
  <c r="F325" s="1"/>
  <c r="F326" s="1"/>
  <c r="F327" s="1"/>
  <c r="E185" i="7"/>
  <c r="E271" s="1"/>
  <c r="E270" s="1"/>
  <c r="E274" s="1"/>
  <c r="E275" s="1"/>
  <c r="E276" s="1"/>
  <c r="F145"/>
  <c r="E180"/>
  <c r="G144"/>
  <c r="F179"/>
  <c r="G269"/>
  <c r="G183"/>
  <c r="G184"/>
  <c r="H183"/>
  <c r="H184"/>
  <c r="H269"/>
  <c r="E120" i="1"/>
  <c r="F220" i="10"/>
  <c r="F314"/>
  <c r="G150"/>
  <c r="F222"/>
  <c r="F221"/>
  <c r="G220"/>
  <c r="H150"/>
  <c r="H314" s="1"/>
  <c r="G229" i="9"/>
  <c r="G230"/>
  <c r="G231"/>
  <c r="G234"/>
  <c r="H229"/>
  <c r="H230"/>
  <c r="H231"/>
  <c r="H234"/>
  <c r="H108" i="4"/>
  <c r="H179" s="1"/>
  <c r="H178"/>
  <c r="E180"/>
  <c r="E182" s="1"/>
  <c r="E266" s="1"/>
  <c r="E265" s="1"/>
  <c r="E269" s="1"/>
  <c r="E270" s="1"/>
  <c r="E271" s="1"/>
  <c r="E181"/>
  <c r="F109"/>
  <c r="F264" s="1"/>
  <c r="D182"/>
  <c r="D266" s="1"/>
  <c r="D265" s="1"/>
  <c r="D269" s="1"/>
  <c r="D270" s="1"/>
  <c r="D271" s="1"/>
  <c r="H142"/>
  <c r="H176" s="1"/>
  <c r="G176"/>
  <c r="G108"/>
  <c r="H317" i="1"/>
  <c r="H180"/>
  <c r="H181"/>
  <c r="F118"/>
  <c r="E249" i="6"/>
  <c r="E334" s="1"/>
  <c r="E333" s="1"/>
  <c r="E337" s="1"/>
  <c r="E338" s="1"/>
  <c r="E339" s="1"/>
  <c r="F242"/>
  <c r="F248"/>
  <c r="G161"/>
  <c r="G332" s="1"/>
  <c r="H247"/>
  <c r="H244"/>
  <c r="F116" i="1"/>
  <c r="F112"/>
  <c r="E74"/>
  <c r="F111"/>
  <c r="G117"/>
  <c r="F113"/>
  <c r="F115"/>
  <c r="F223" i="10" l="1"/>
  <c r="F316" s="1"/>
  <c r="F315" s="1"/>
  <c r="F319" s="1"/>
  <c r="F320" s="1"/>
  <c r="F321" s="1"/>
  <c r="G145" i="7"/>
  <c r="F180"/>
  <c r="H144"/>
  <c r="H179" s="1"/>
  <c r="G179"/>
  <c r="F185"/>
  <c r="F271" s="1"/>
  <c r="F270" s="1"/>
  <c r="F274" s="1"/>
  <c r="F275" s="1"/>
  <c r="F276" s="1"/>
  <c r="F120" i="1"/>
  <c r="G222" i="10"/>
  <c r="G314"/>
  <c r="G221"/>
  <c r="H220"/>
  <c r="H221"/>
  <c r="H222"/>
  <c r="H235" i="9"/>
  <c r="H322" s="1"/>
  <c r="H321" s="1"/>
  <c r="H325" s="1"/>
  <c r="H326" s="1"/>
  <c r="H327" s="1"/>
  <c r="G235"/>
  <c r="G322" s="1"/>
  <c r="G321" s="1"/>
  <c r="G325" s="1"/>
  <c r="G326" s="1"/>
  <c r="G327" s="1"/>
  <c r="H109" i="4"/>
  <c r="F180"/>
  <c r="F181"/>
  <c r="G109"/>
  <c r="G264" s="1"/>
  <c r="G179"/>
  <c r="F249" i="6"/>
  <c r="F334" s="1"/>
  <c r="F333" s="1"/>
  <c r="F337" s="1"/>
  <c r="F338" s="1"/>
  <c r="F339" s="1"/>
  <c r="D327" i="1"/>
  <c r="D189"/>
  <c r="D188"/>
  <c r="G118"/>
  <c r="G242" i="6"/>
  <c r="G248"/>
  <c r="H161"/>
  <c r="H332" s="1"/>
  <c r="G115" i="1"/>
  <c r="G116"/>
  <c r="G113"/>
  <c r="G111"/>
  <c r="F74"/>
  <c r="G112"/>
  <c r="H117"/>
  <c r="H145" i="7" l="1"/>
  <c r="H180" s="1"/>
  <c r="H185" s="1"/>
  <c r="H271" s="1"/>
  <c r="H270" s="1"/>
  <c r="H274" s="1"/>
  <c r="H275" s="1"/>
  <c r="H276" s="1"/>
  <c r="G180"/>
  <c r="G185" s="1"/>
  <c r="G271" s="1"/>
  <c r="G270" s="1"/>
  <c r="G274" s="1"/>
  <c r="G275" s="1"/>
  <c r="G276" s="1"/>
  <c r="G120" i="1"/>
  <c r="G223" i="10"/>
  <c r="G316" s="1"/>
  <c r="G315" s="1"/>
  <c r="G319" s="1"/>
  <c r="G320" s="1"/>
  <c r="G321" s="1"/>
  <c r="H223"/>
  <c r="H316" s="1"/>
  <c r="H315" s="1"/>
  <c r="H319" s="1"/>
  <c r="H320" s="1"/>
  <c r="H321" s="1"/>
  <c r="H181" i="4"/>
  <c r="H264"/>
  <c r="H180"/>
  <c r="H182" s="1"/>
  <c r="H266" s="1"/>
  <c r="H265" s="1"/>
  <c r="G180"/>
  <c r="G182" s="1"/>
  <c r="G266" s="1"/>
  <c r="G265" s="1"/>
  <c r="G269" s="1"/>
  <c r="G270" s="1"/>
  <c r="G271" s="1"/>
  <c r="G181"/>
  <c r="F182"/>
  <c r="F266" s="1"/>
  <c r="F265" s="1"/>
  <c r="F269" s="1"/>
  <c r="F270" s="1"/>
  <c r="F271" s="1"/>
  <c r="G249" i="6"/>
  <c r="G334" s="1"/>
  <c r="G333" s="1"/>
  <c r="G337" s="1"/>
  <c r="E327" i="1"/>
  <c r="E188"/>
  <c r="E189"/>
  <c r="H118"/>
  <c r="H242" i="6"/>
  <c r="H248"/>
  <c r="H113" i="1"/>
  <c r="H112"/>
  <c r="H115"/>
  <c r="G74"/>
  <c r="H111"/>
  <c r="H116"/>
  <c r="H120" l="1"/>
  <c r="H269" i="4"/>
  <c r="H270" s="1"/>
  <c r="H271" s="1"/>
  <c r="G338" i="6"/>
  <c r="G339" s="1"/>
  <c r="F327" i="1"/>
  <c r="F188"/>
  <c r="F189"/>
  <c r="H249" i="6"/>
  <c r="H334" s="1"/>
  <c r="H333" s="1"/>
  <c r="H337" s="1"/>
  <c r="H338" s="1"/>
  <c r="H339" s="1"/>
  <c r="H74" i="1"/>
  <c r="G327" l="1"/>
  <c r="G188"/>
  <c r="G189"/>
  <c r="H327" l="1"/>
  <c r="H188"/>
  <c r="H189"/>
  <c r="F179" l="1"/>
  <c r="E179"/>
  <c r="E178"/>
  <c r="E182" l="1"/>
  <c r="E321" s="1"/>
  <c r="E318" s="1"/>
  <c r="E322" s="1"/>
  <c r="E323" s="1"/>
  <c r="E324" s="1"/>
  <c r="G179"/>
  <c r="G178"/>
  <c r="F178"/>
  <c r="F182" s="1"/>
  <c r="F321" s="1"/>
  <c r="F318" s="1"/>
  <c r="F322" s="1"/>
  <c r="G182" l="1"/>
  <c r="G321" s="1"/>
  <c r="G318" s="1"/>
  <c r="G322" s="1"/>
  <c r="G323" s="1"/>
  <c r="G324" s="1"/>
  <c r="F323"/>
  <c r="F324" s="1"/>
  <c r="H179"/>
  <c r="H178"/>
  <c r="H182" s="1"/>
  <c r="H321" s="1"/>
  <c r="H318" s="1"/>
  <c r="H322" s="1"/>
  <c r="H323" l="1"/>
  <c r="H324" s="1"/>
  <c r="D187"/>
  <c r="D186"/>
  <c r="E187" l="1"/>
  <c r="E186"/>
  <c r="D190"/>
  <c r="D331" s="1"/>
  <c r="D328" s="1"/>
  <c r="D332" s="1"/>
  <c r="F187" l="1"/>
  <c r="F186"/>
  <c r="D333"/>
  <c r="D334" s="1"/>
  <c r="E190"/>
  <c r="E331" s="1"/>
  <c r="E328" s="1"/>
  <c r="E332" s="1"/>
  <c r="F190" l="1"/>
  <c r="F331" s="1"/>
  <c r="F328" s="1"/>
  <c r="F332" s="1"/>
  <c r="E333"/>
  <c r="E334" s="1"/>
  <c r="G187"/>
  <c r="G186"/>
  <c r="G190" s="1"/>
  <c r="G331" s="1"/>
  <c r="G328" s="1"/>
  <c r="G332" s="1"/>
  <c r="F333" l="1"/>
  <c r="F334" s="1"/>
  <c r="H186"/>
  <c r="H190" s="1"/>
  <c r="H331" s="1"/>
  <c r="H328" s="1"/>
  <c r="H332" s="1"/>
  <c r="H187"/>
  <c r="G333"/>
  <c r="G334" s="1"/>
  <c r="H333" l="1"/>
  <c r="H334" s="1"/>
</calcChain>
</file>

<file path=xl/sharedStrings.xml><?xml version="1.0" encoding="utf-8"?>
<sst xmlns="http://schemas.openxmlformats.org/spreadsheetml/2006/main" count="3245" uniqueCount="520">
  <si>
    <t>SỐ LƯỢT KIỂM ĐỊNH</t>
  </si>
  <si>
    <t>TT</t>
  </si>
  <si>
    <t>Loại xe</t>
  </si>
  <si>
    <t>ĐVT</t>
  </si>
  <si>
    <t>Phân loại phương tiện kiểm định</t>
  </si>
  <si>
    <t>Tỷ trọng</t>
  </si>
  <si>
    <t>Số lượt</t>
  </si>
  <si>
    <t>Dây chuyền 2 tấn</t>
  </si>
  <si>
    <t>Dây chuyền 13 tấn</t>
  </si>
  <si>
    <t>Xe đến 8 chỗ ngồi</t>
  </si>
  <si>
    <t>Xe đến 16 chỗ ngồi</t>
  </si>
  <si>
    <t>Xe tải &lt; = 2 tấn</t>
  </si>
  <si>
    <t>lượt/năm</t>
  </si>
  <si>
    <t>Thời gian làm việc:</t>
  </si>
  <si>
    <t>giờ/ngày</t>
  </si>
  <si>
    <t xml:space="preserve">Thời gian kiểm định 1 xe là: </t>
  </si>
  <si>
    <t>phút</t>
  </si>
  <si>
    <t xml:space="preserve">Số lượng xe 1 ngày/dây chuyền là: </t>
  </si>
  <si>
    <t>xe</t>
  </si>
  <si>
    <t>Số lượng xe trong năm là:</t>
  </si>
  <si>
    <t>xe/chuyền</t>
  </si>
  <si>
    <t>Tổng số dây chuyền:</t>
  </si>
  <si>
    <t>chuyền</t>
  </si>
  <si>
    <t xml:space="preserve">   Mức phí áp dụng theo hướng dẫn của Bộ Tài Chính thông tư số 238/2016/TT-BTC ngày 11/11/2016 quy định về giá dịch vụ kiểm định an toàn kỹ thuật và bảo vệ môi trường đối với xe cơ giới, thiết bị và xe máy chuyên dùng đang lưu hành; đánh giá, hiệu chuẩn thiết bị kiểm tra xe cơ giới.</t>
  </si>
  <si>
    <t>Xe đến 24 chỗ ngồi</t>
  </si>
  <si>
    <t>Xe đến 40 chỗ ngồi</t>
  </si>
  <si>
    <t>Xe tải &gt; 2 tấn - 7 tấn</t>
  </si>
  <si>
    <t>Xe tải &gt; 7 tấn - 13 tấn</t>
  </si>
  <si>
    <t>ngày</t>
  </si>
  <si>
    <t>SỐ LƯỢT PHƯƠNG TIỆN RA - VÀO ĐĂNG KIỂM HÀNG NĂM</t>
  </si>
  <si>
    <t>1. Các giả định kinh tế và cơ sở tính toán</t>
  </si>
  <si>
    <t>1.1. Giả định về doanh thu</t>
  </si>
  <si>
    <t xml:space="preserve"> + Giả định về doanh thu</t>
  </si>
  <si>
    <t>Năm 1</t>
  </si>
  <si>
    <t>Năm 2</t>
  </si>
  <si>
    <t>Năm 3</t>
  </si>
  <si>
    <t>Năm 4</t>
  </si>
  <si>
    <t>Năm 5</t>
  </si>
  <si>
    <t>A</t>
  </si>
  <si>
    <t>B</t>
  </si>
  <si>
    <t>C</t>
  </si>
  <si>
    <t>I</t>
  </si>
  <si>
    <t>Xe tải trọng &lt; = 2 tấn</t>
  </si>
  <si>
    <t>II</t>
  </si>
  <si>
    <t>Xe tải trọng &lt; = 13 tấn</t>
  </si>
  <si>
    <t>lượt xe</t>
  </si>
  <si>
    <t>Những năm sau hiệu suất tăng vượt theo hiệu suất dự kiến khoảng:</t>
  </si>
  <si>
    <t xml:space="preserve"> /năm</t>
  </si>
  <si>
    <t xml:space="preserve">Hiệu suất hoạt động năm đầu: </t>
  </si>
  <si>
    <t>Cộng:</t>
  </si>
  <si>
    <t>Năm 6</t>
  </si>
  <si>
    <t>Năm 7</t>
  </si>
  <si>
    <t>Năm 8</t>
  </si>
  <si>
    <t>Năm 9</t>
  </si>
  <si>
    <t>Năm 10</t>
  </si>
  <si>
    <t>Năm 11</t>
  </si>
  <si>
    <t>Năm 12</t>
  </si>
  <si>
    <t>Năm 13</t>
  </si>
  <si>
    <t>Năm 14</t>
  </si>
  <si>
    <t>Năm 15</t>
  </si>
  <si>
    <t>Đơn vị:</t>
  </si>
  <si>
    <t>1.000 vnđ</t>
  </si>
  <si>
    <t>DOANH THU CỦA DỰ ÁN QUA CÁC NĂM (ĐÃ BAO GỒM THUẾ GTGT)</t>
  </si>
  <si>
    <t>Chế độ tiền lương của nhân viên bao gồm:</t>
  </si>
  <si>
    <t xml:space="preserve"> -Mức lương cơ bản</t>
  </si>
  <si>
    <t xml:space="preserve"> -Tiền phụ cấp</t>
  </si>
  <si>
    <t>1.2. Giả định về chi phí</t>
  </si>
  <si>
    <t>Chi phí lương nhân viên:</t>
  </si>
  <si>
    <t>mức lương cơ bản</t>
  </si>
  <si>
    <t xml:space="preserve"> -BHYT,BHXH:</t>
  </si>
  <si>
    <t>tháng</t>
  </si>
  <si>
    <t xml:space="preserve"> -Số tháng được hưởng lương: </t>
  </si>
  <si>
    <t>/năm</t>
  </si>
  <si>
    <t xml:space="preserve"> -Mức tăng lương hằng năm:</t>
  </si>
  <si>
    <t>Số lượng nhân viên</t>
  </si>
  <si>
    <t>Chức danh</t>
  </si>
  <si>
    <t>Mức lương cơ bản</t>
  </si>
  <si>
    <t>Phụ cấp</t>
  </si>
  <si>
    <t>Tổng lương/tháng/người</t>
  </si>
  <si>
    <t>Tổng lương/năm</t>
  </si>
  <si>
    <t>BHYT, BHXD</t>
  </si>
  <si>
    <t>Giám đốc</t>
  </si>
  <si>
    <t>Phó giám đốc</t>
  </si>
  <si>
    <t>Kế toán</t>
  </si>
  <si>
    <t>Thủ quỹ</t>
  </si>
  <si>
    <t>Nhân viên phụ trách hồ sơ</t>
  </si>
  <si>
    <t>Nhân viên CNTT</t>
  </si>
  <si>
    <t>Phụ trách dây chuyền</t>
  </si>
  <si>
    <t>Nhân viên đăng kiểm</t>
  </si>
  <si>
    <t>TỔNG</t>
  </si>
  <si>
    <t>Năm</t>
  </si>
  <si>
    <t>Mức lương tăng hàng năm</t>
  </si>
  <si>
    <t>Tổng lương nhân viên</t>
  </si>
  <si>
    <t>BHYT, BHXH</t>
  </si>
  <si>
    <t>Hạng mục</t>
  </si>
  <si>
    <t>Giá trị</t>
  </si>
  <si>
    <t xml:space="preserve"> * Chế độ tiền lương cho nhân viên</t>
  </si>
  <si>
    <t xml:space="preserve"> * Chi phí lương cho nhân viên</t>
  </si>
  <si>
    <t xml:space="preserve"> * Khấu hao tài sản cố định:</t>
  </si>
  <si>
    <t>Bảng tính khấu hao:</t>
  </si>
  <si>
    <t>Danh mục</t>
  </si>
  <si>
    <t>Tỷ lệ KH</t>
  </si>
  <si>
    <t>Thiết bị kiểm định</t>
  </si>
  <si>
    <t>Cộng khấu hao</t>
  </si>
  <si>
    <t>Cộng giá trị còn lại</t>
  </si>
  <si>
    <t>D</t>
  </si>
  <si>
    <t>Thời gian khấu hao (năm)</t>
  </si>
  <si>
    <t>Năm 16</t>
  </si>
  <si>
    <t>Năm 17</t>
  </si>
  <si>
    <t>Năm 18</t>
  </si>
  <si>
    <t>Năm 19</t>
  </si>
  <si>
    <t>Năm 20</t>
  </si>
  <si>
    <t>Năm 21</t>
  </si>
  <si>
    <t>Năm 22</t>
  </si>
  <si>
    <t>Năm 23</t>
  </si>
  <si>
    <t>Năm 24</t>
  </si>
  <si>
    <t>Năm 25</t>
  </si>
  <si>
    <t>Phân tích hiệu quả hoạt động trong thời gian:</t>
  </si>
  <si>
    <t>năm</t>
  </si>
  <si>
    <t>Thuế thu nhập doanh nghiệp:</t>
  </si>
  <si>
    <t>Nội dung</t>
  </si>
  <si>
    <t>DOANH THU</t>
  </si>
  <si>
    <t>CHI PHÍ</t>
  </si>
  <si>
    <t>Khấu hao</t>
  </si>
  <si>
    <t>Thuê đất</t>
  </si>
  <si>
    <t>III</t>
  </si>
  <si>
    <t>Thuế TNDN</t>
  </si>
  <si>
    <t>IV</t>
  </si>
  <si>
    <t>LỢI NHUẬN SAU THUẾ</t>
  </si>
  <si>
    <t>LỢI NHUẬN TRƯỚC THUẾ</t>
  </si>
  <si>
    <t xml:space="preserve">   Doanh thu của dự án có được từ: Hoạt động đăng kiểm các loại xe cơ giới với 2 dây chuyền kiểm định xe loại trọng tải 2 tấn và loại 13 tấn.</t>
  </si>
  <si>
    <t>PHÂN TÍCH HIỆU QUẢ TÀI CHÍNH DỰ ÁN CỬA HÀNG XĂNG DẦU</t>
  </si>
  <si>
    <t xml:space="preserve">   Các thông số giả định dùng để tính toán hiệu quả kinh tế của dự án trên cơ sở tham khảo tính toán của các dự án khác đã triển khai, giá dịch vụ dựa trên mức giá thị trường, các tài liệu liên quan, cụ thể như sau:</t>
  </si>
  <si>
    <t xml:space="preserve"> - Các hệ thống máy móc thiết bị cần đầu tư để đảm bảo cho dự án hoạt động tốt</t>
  </si>
  <si>
    <t xml:space="preserve"> - Doanh thu của dự án có được từ:</t>
  </si>
  <si>
    <t xml:space="preserve"> + Xăng RON 92</t>
  </si>
  <si>
    <t xml:space="preserve"> + Xăng RON 95</t>
  </si>
  <si>
    <t xml:space="preserve"> + Dầu hỏa</t>
  </si>
  <si>
    <t xml:space="preserve"> + DO 0.05 S</t>
  </si>
  <si>
    <t xml:space="preserve"> - Chi phí khấu hao Tài sản cố định: Áp dụng phương pháp khấu hao theo đường thẳng</t>
  </si>
  <si>
    <t xml:space="preserve"> - Thuế thu nhập doanh nghiệp của dự án thuế suất áp dụng là:</t>
  </si>
  <si>
    <t>2. Doanh thu từ dự án</t>
  </si>
  <si>
    <t>Sản phẩm</t>
  </si>
  <si>
    <t>Đơn vị</t>
  </si>
  <si>
    <t>Số lượng</t>
  </si>
  <si>
    <t>Doanh thu</t>
  </si>
  <si>
    <t>Giá bán</t>
  </si>
  <si>
    <t>Xăng RON 95</t>
  </si>
  <si>
    <t>Xăng RON 92</t>
  </si>
  <si>
    <t>Dầu hỏa</t>
  </si>
  <si>
    <t>DO 0.05 S</t>
  </si>
  <si>
    <t>Cà phê, giải khát</t>
  </si>
  <si>
    <t>Tổng cộng doanh thu</t>
  </si>
  <si>
    <t>lít</t>
  </si>
  <si>
    <t xml:space="preserve"> + DO 0.001 S</t>
  </si>
  <si>
    <t>DO 0.001 S</t>
  </si>
  <si>
    <t>Từ các hạng mục trên ta có bảng doanh thu 5 năm đầu hoạt động của dự án:</t>
  </si>
  <si>
    <t xml:space="preserve"> - Mức tăng sản lượng hàng năm dự kiến khoảng:</t>
  </si>
  <si>
    <t>Sản lượng hàng năm</t>
  </si>
  <si>
    <t xml:space="preserve"> * Sản lượng hàng năm</t>
  </si>
  <si>
    <t>Mức tăng sản lượng hàng năm</t>
  </si>
  <si>
    <t xml:space="preserve"> - Mức tăng giá bán hàng năm dự kiến khoảng:</t>
  </si>
  <si>
    <t xml:space="preserve"> * Giá bán hàng năm</t>
  </si>
  <si>
    <t>Giá bán hàng năm</t>
  </si>
  <si>
    <t>Mức tăng giá bán hàng năm</t>
  </si>
  <si>
    <t xml:space="preserve"> * Doanh thu hàng năm</t>
  </si>
  <si>
    <t>Doanh thu hàng năm</t>
  </si>
  <si>
    <t>TỔNG DOANH THU</t>
  </si>
  <si>
    <t>3. Giả định về chi phí</t>
  </si>
  <si>
    <t>Cửa hàng trưởng</t>
  </si>
  <si>
    <t>Nhân viên bơm xăng dầu</t>
  </si>
  <si>
    <t>Nhân viên rửa xe</t>
  </si>
  <si>
    <t>Nhân viên bán hàng giải khát</t>
  </si>
  <si>
    <t>Thiết bị</t>
  </si>
  <si>
    <t>Cửa hàng xăng dầu</t>
  </si>
  <si>
    <t>2. Báo cáo thu nhập dự trù</t>
  </si>
  <si>
    <t>lãi</t>
  </si>
  <si>
    <t>PHÂN TÍCH HIỆU QUẢ TÀI CHÍNH DỰ ÁN TRẠM DỪNG NGHỈ</t>
  </si>
  <si>
    <t xml:space="preserve">   Các thông số giả định dùng để tính toán hiệu quả kinh tế của dự án trên cơ sở tham khảo tính toán của các dự án khác đã triển khai, giá dịch vụ dựa trên mức giá thị trường, các văn bản liên quan đến giá bán và các tài liệu liên quan khác, cụ thể như sau:</t>
  </si>
  <si>
    <t xml:space="preserve"> + Doanh thu từ Nhà hàng ăn uống</t>
  </si>
  <si>
    <t xml:space="preserve"> + Doanh thu từ nhà nghỉ</t>
  </si>
  <si>
    <t xml:space="preserve"> + Doanh thu từ ki ốt bán hàng lưu niệm và thủ công mỹ nghệ</t>
  </si>
  <si>
    <t xml:space="preserve"> + Doanh thu từ đặc sản vùng miền</t>
  </si>
  <si>
    <t xml:space="preserve">   Doanh thu của dự án được tính toán dựa trên doanh thu của nhà ăn, nhà nghỉ, nhà hàng, ki ốt bán hàng lưu niệm và thủ công mỹ nghệ và doanh thu từ đặc sản vùng miền.</t>
  </si>
  <si>
    <t>xe ghé vào trạm dừng nghỉ</t>
  </si>
  <si>
    <t>lượt khách</t>
  </si>
  <si>
    <t xml:space="preserve"> + Năm đầu tiên đi vào hoạt động, công suất dự kiến chỉ khoảng:</t>
  </si>
  <si>
    <t>tương đương:</t>
  </si>
  <si>
    <t>số khách vào trạm dừng nghỉ</t>
  </si>
  <si>
    <t xml:space="preserve"> + Đơn giá một phần ăn:</t>
  </si>
  <si>
    <t xml:space="preserve"> + Mức tăng giá hàng năm:</t>
  </si>
  <si>
    <t xml:space="preserve"> + Ước tính số khách sử dụng dịch vụ theo suất:</t>
  </si>
  <si>
    <t xml:space="preserve"> + Ước tính số khách sử dụng dịch vụ nhà hàng:</t>
  </si>
  <si>
    <t>đồng</t>
  </si>
  <si>
    <t xml:space="preserve"> + Ước tính số khách mua đồ:</t>
  </si>
  <si>
    <t xml:space="preserve"> + Đơn giá trung bình của nhà hàng:</t>
  </si>
  <si>
    <t xml:space="preserve"> + Đơn giá trung bình mỗi khách mua:</t>
  </si>
  <si>
    <t xml:space="preserve"> + Ước tính số khách mua đặc sản:</t>
  </si>
  <si>
    <t xml:space="preserve"> Chủ yếu là các gia đình đi du lịch bằng phương tiện ôtô loại nhỏ; Các đoàn đi lễ Đền Ông Hoàng Mười sử dụng dịch vụ từ nhà nghỉ.</t>
  </si>
  <si>
    <t xml:space="preserve"> + Ước tính số lượt khách sử dụng dịch vụ:</t>
  </si>
  <si>
    <t xml:space="preserve"> Từ các hạng mục trên ta có bảng doanh thu của Dự án:</t>
  </si>
  <si>
    <t>HẠNG MỤC</t>
  </si>
  <si>
    <t>Số lượt xe</t>
  </si>
  <si>
    <t>Số lượt khách</t>
  </si>
  <si>
    <t>Công suất dự kiến</t>
  </si>
  <si>
    <t>Nhà ăn</t>
  </si>
  <si>
    <t>Lượt khách/ngày</t>
  </si>
  <si>
    <t>Mức tăng đơn giá món ăn</t>
  </si>
  <si>
    <t>Đơn giá/phần ăn</t>
  </si>
  <si>
    <t>Nhà hàng</t>
  </si>
  <si>
    <t>Mức tăng đơn giá hàng năm</t>
  </si>
  <si>
    <t>Đơn giá trung bình/khách</t>
  </si>
  <si>
    <t>Đồ lưu niệm, thủ công mỹ nghệ</t>
  </si>
  <si>
    <t>Lượt khách mua/ngày</t>
  </si>
  <si>
    <t>Đặc sản vùng miền</t>
  </si>
  <si>
    <t>Nhà nghỉ</t>
  </si>
  <si>
    <t>Lượt khách nghỉ/ngày</t>
  </si>
  <si>
    <t>Tổng doanh thu</t>
  </si>
  <si>
    <t>Doanh thu/năm</t>
  </si>
  <si>
    <t xml:space="preserve"> * Tính số ngày kinh doanh trong năm:</t>
  </si>
  <si>
    <t xml:space="preserve"> 2.1 Doanh thu từ nhà ăn phục vụ theo suất:</t>
  </si>
  <si>
    <t xml:space="preserve"> 2.2 Doanh thu từ nhà hàng:</t>
  </si>
  <si>
    <t xml:space="preserve"> 2.3 Doanh thu đồ lưu niệm, thủ công mỹ nghệ:</t>
  </si>
  <si>
    <t xml:space="preserve"> 2.4 Doanh thu từ đặc sản vùng miền:</t>
  </si>
  <si>
    <t xml:space="preserve"> 2.5 Doanh thu từ Nhà nghỉ:</t>
  </si>
  <si>
    <t xml:space="preserve"> 2.6 Doanh thu từ ki ốt cà phê, giải khát:</t>
  </si>
  <si>
    <t xml:space="preserve"> + Doanh thu từ kinh doanh cà phê, giải khát</t>
  </si>
  <si>
    <t xml:space="preserve"> + Ước tính số khách sử dụng dịch vụ:</t>
  </si>
  <si>
    <t>Giám đốc dự án</t>
  </si>
  <si>
    <t>Nhân viên quản lý</t>
  </si>
  <si>
    <t>Nhân viên nhà bếp</t>
  </si>
  <si>
    <t>Nhân viên bảo vệ</t>
  </si>
  <si>
    <t>Lao động phổ thông</t>
  </si>
  <si>
    <t>Nhân viên kỹ thuật, kỹ thuật gia dụng</t>
  </si>
  <si>
    <t xml:space="preserve"> * Chi phí hoạt động</t>
  </si>
  <si>
    <t xml:space="preserve">  Chi phí hoạt động bao gồm: Chi phí lương nhân công, chi phí bảo hiểm phúc lợi cho nhân viên, chi phí điện nước, chi phí nguyên vật liệu thức ăn của nhà hàng, chi phí nguyên vật liệu sản xuất hàng mỹ nghệ, chi phí các mặt hàng đặc sản và các chi phí khác.</t>
  </si>
  <si>
    <t>3.1. Chế độ tiền lương của nhân viên bao gồm:</t>
  </si>
  <si>
    <t>3.2 Chi phí hoạt động</t>
  </si>
  <si>
    <t>doanh thu của trạm dừng nghỉ</t>
  </si>
  <si>
    <t>doanh thu từ nhà ăn, nhà hàng</t>
  </si>
  <si>
    <t>doanh thu từ hàng mỹ nghệ, đồ lưu niệm</t>
  </si>
  <si>
    <t>doanh thu từ các mặt hàng đặc sản</t>
  </si>
  <si>
    <t>doanh thu từ cà phê, giải khát</t>
  </si>
  <si>
    <t xml:space="preserve"> - Chi phí điện nước ước tính bằng</t>
  </si>
  <si>
    <t xml:space="preserve"> - Chi phí nguyên liệu thức ăn cho nhà ăn ước tính bằng</t>
  </si>
  <si>
    <t xml:space="preserve"> - Chi phí nguyên liệu sản xuất hàng mỹ nghệ, đồ lưu niệm ước tính bằng</t>
  </si>
  <si>
    <t xml:space="preserve"> - Chi phí các mặt hàng đặc sản ước tính bằng</t>
  </si>
  <si>
    <t xml:space="preserve"> - Chi phí nguyên liệu cà phê, giải khát ước tính bằng</t>
  </si>
  <si>
    <t xml:space="preserve"> - Chi phí khác ước tính bằng</t>
  </si>
  <si>
    <t>Bảng tổng hợp chi phí hoạt động</t>
  </si>
  <si>
    <t>Chi lương nhân công</t>
  </si>
  <si>
    <t>Chi phí bảo hiểm, phúc lợi cho nhân viên</t>
  </si>
  <si>
    <t>Chi phí điện nước</t>
  </si>
  <si>
    <t>Chi phí nguyên liệu thức ăn của Nhà ăn</t>
  </si>
  <si>
    <t>Chi phí nguyên liệu thức ăn của Nhà hàng</t>
  </si>
  <si>
    <t>Chi phí sản xuất hàng mỹ nghệ, đồ lưu niệm</t>
  </si>
  <si>
    <t>Chi phí các mặt hàng đặc sản vùng miền</t>
  </si>
  <si>
    <t>Chi phí nguyên liệu pha chế cà phê, giải khát</t>
  </si>
  <si>
    <t>Chi phí khác</t>
  </si>
  <si>
    <t>TỔNG CỘNG</t>
  </si>
  <si>
    <t xml:space="preserve"> 3.3 Khấu hao tài sản cố định:</t>
  </si>
  <si>
    <t>4. Báo cáo thu nhập dự trù</t>
  </si>
  <si>
    <t>Chi phí hoạt động</t>
  </si>
  <si>
    <t>Bảng Báo cáo thu nhập dự trù</t>
  </si>
  <si>
    <t>Bảng báo cáo thu nhập dự trù</t>
  </si>
  <si>
    <t>doanh thu của Dự án</t>
  </si>
  <si>
    <t xml:space="preserve"> - Chi phí nhiên liệu đầu vào ước tính bằng</t>
  </si>
  <si>
    <t>Chi phí nguyên liệu đầu vào</t>
  </si>
  <si>
    <t>doanh thu từ kinh doanh Xăng, dầu, gas và mỡ nhờn</t>
  </si>
  <si>
    <t>PHÂN TÍCH HIỆU QUẢ TÀI CHÍNH DỰ ÁN CỬA HÀNG XĂNG DẦU TRẠM DỪNG NGHỈ</t>
  </si>
  <si>
    <t>PHÂN TÍCH HIỆU QUẢ TÀI CHÍNH DỰ ÁN KHÁCH SẠN 3 SAO</t>
  </si>
  <si>
    <t xml:space="preserve"> - Các hoạt động kinh doanh của dự án tạo doanh thu bao gồm: </t>
  </si>
  <si>
    <t xml:space="preserve"> + Kinh doanh cho thuê phòng với 3 loại phòng, đối tượng khách hàng là khách trong nước.</t>
  </si>
  <si>
    <t xml:space="preserve"> + Kinh doanh các loại hình dịch vụ khác như:</t>
  </si>
  <si>
    <t xml:space="preserve">   * Dịch vụ giặt quần áo,…</t>
  </si>
  <si>
    <t xml:space="preserve">   Theo kế hoạch, công suất thuê phòng dao động theo mùa, tăng mạnh từ tháng 11 đến hết tháng 4 hàng năm, tạm tính công suất sử dụng phòng trung bình là 75%/năm.</t>
  </si>
  <si>
    <t xml:space="preserve"> - Khách sạn 100 giường với các loại phòng:</t>
  </si>
  <si>
    <t>phòng</t>
  </si>
  <si>
    <t xml:space="preserve">   * Phòng 1 giường đôi lớn:</t>
  </si>
  <si>
    <t xml:space="preserve">   * Phòng 2 giường đơn: </t>
  </si>
  <si>
    <t xml:space="preserve">   * Phòng 2 giường đôi:</t>
  </si>
  <si>
    <t>Trạm dừng nghỉ</t>
  </si>
  <si>
    <t xml:space="preserve"> + Kinh doanh nhà hàng phục vụ cho các đối lượng khách lưu trú và khách vãng lai.</t>
  </si>
  <si>
    <t xml:space="preserve">   * Ngoài ra, còn có các dịch vụ như cho thuê mặt bằng, tham gia tổ chức sự kiện, hội nghị.</t>
  </si>
  <si>
    <t xml:space="preserve"> - Thuế thu nhập doanh nghiệp của dự án :</t>
  </si>
  <si>
    <t xml:space="preserve"> - Mức tăng giá bán dự kiến khoảng:</t>
  </si>
  <si>
    <t xml:space="preserve"> - Tốc độ tăng giá nguyên vật liệu dự kiến:</t>
  </si>
  <si>
    <t>2.1. Sản lượng sản phẩm và dịch vụ</t>
  </si>
  <si>
    <t>Số phòng</t>
  </si>
  <si>
    <t>Tốc độ tăng công suất phục vụ</t>
  </si>
  <si>
    <t>Công suất phục vụ bình quân năm</t>
  </si>
  <si>
    <t>Số ngày khách thực tế trong tháng</t>
  </si>
  <si>
    <t>2.2. Cơ cấu doanh thu của dự án</t>
  </si>
  <si>
    <t>A. TÍNH DOANH THU</t>
  </si>
  <si>
    <t>Kinh doanh cho thuê phòng</t>
  </si>
  <si>
    <t>1.1</t>
  </si>
  <si>
    <t>Số ngày khách thực tế (ngày)</t>
  </si>
  <si>
    <t>Phòng loại 1</t>
  </si>
  <si>
    <t>Phòng loại 2</t>
  </si>
  <si>
    <t>Phòng loại 3</t>
  </si>
  <si>
    <t>1.2</t>
  </si>
  <si>
    <t>Cộng doanh thu</t>
  </si>
  <si>
    <t xml:space="preserve"> - Công suất phục vụ năm đầu tiên:</t>
  </si>
  <si>
    <t xml:space="preserve">Giá phòng </t>
  </si>
  <si>
    <t>Kinh doanh nhà hàng</t>
  </si>
  <si>
    <t>2.1</t>
  </si>
  <si>
    <t>Khách sử dụng dịch vụ nhà hàng</t>
  </si>
  <si>
    <t>Khách từ khách sạn:</t>
  </si>
  <si>
    <t>2.2</t>
  </si>
  <si>
    <t>Đơn giá/khách/ngày:</t>
  </si>
  <si>
    <t>Kinh doanh các dịch vụ khác</t>
  </si>
  <si>
    <t>3.1</t>
  </si>
  <si>
    <t xml:space="preserve">Đơn giá sử dụng: </t>
  </si>
  <si>
    <t>3.2</t>
  </si>
  <si>
    <t>Dịch vụ giải trí: Massage, gym, cà phê, …</t>
  </si>
  <si>
    <t>3.3</t>
  </si>
  <si>
    <t>Dịch vụ giặt là</t>
  </si>
  <si>
    <t>B. CỘNG DOANH THU CỦA DỰ ÁN</t>
  </si>
  <si>
    <t xml:space="preserve">   * Dịch vụ giải trí với một số loại hình như: Café, Bar, Massage …</t>
  </si>
  <si>
    <t>Cho thuê mặt bằng, tổ chức sự kiện, hội nghị</t>
  </si>
  <si>
    <t>Số lượt tổ chức sự kiện, hội nghị</t>
  </si>
  <si>
    <t>Số ngày khách tối đa</t>
  </si>
  <si>
    <t xml:space="preserve"> - Số ngày phục vụ khách tối đa trong năm:</t>
  </si>
  <si>
    <t>Số ngày phục vụ khách tối đa trong năm</t>
  </si>
  <si>
    <t>Khách vãng lai năm đầu (người/ngày):</t>
  </si>
  <si>
    <t xml:space="preserve">   Hai mảng hoạt động chính của khách sạn là cho thuê phòng và nhà hàng</t>
  </si>
  <si>
    <t xml:space="preserve">   Doanh thu của Khách sạn có sự tăng trưởng đều đặn qua các năm nhờ các biện pháp:</t>
  </si>
  <si>
    <t xml:space="preserve">  + Chủ động cải cách chất lượng phục vụ khách hàng nhằm tăng trưởng, ổn định công suất phòng và tăng giá bán phòng</t>
  </si>
  <si>
    <t xml:space="preserve">  + Ngoài ra Công ty cần tập trung khai thác thị trường tổ chức sự kiện và các dịch vụ thương mại ngoài nhằm tăng doanh thu và lợi nhuận.</t>
  </si>
  <si>
    <t xml:space="preserve">  Chi phí hoạt động bao gồm: Chi phí lương nhân công, chi phí bảo hiểm phúc lợi cho nhân viên, chi phí điện nước, chi phí nguyên vật liệu thức ăn của nhà hàng, chi phí quảng cáo, chi phí tu bổ, nâng cấp trang thiết bị phòng nghỉ và các chi phí khác …</t>
  </si>
  <si>
    <t>Trưởng bộ phận Lễ Tân (FOM)</t>
  </si>
  <si>
    <t>Lễ tân, tiền sảnh (FO)</t>
  </si>
  <si>
    <t>Nhân viên giặt là quần áo</t>
  </si>
  <si>
    <t>Nhân viên bếp:               Chính</t>
  </si>
  <si>
    <t xml:space="preserve">                                         Phụ</t>
  </si>
  <si>
    <t>Nhân viên kỹ thuật:   Tổ trưởng</t>
  </si>
  <si>
    <t xml:space="preserve">                                 nhân viên</t>
  </si>
  <si>
    <t>Giám đốc khách sạn</t>
  </si>
  <si>
    <t>Nhân viên trực dọn phòng</t>
  </si>
  <si>
    <t>Nhân viên phục vụ bar, nhà hàng</t>
  </si>
  <si>
    <t>/tháng</t>
  </si>
  <si>
    <t xml:space="preserve"> - Chi phí điện nước, internet, điện thoại, wifi, truyền hình cáp ước tính bằng</t>
  </si>
  <si>
    <t>doanh thu của khách sạn</t>
  </si>
  <si>
    <t xml:space="preserve"> - Chi phí tu bổ thiết bị, nhà cửa, trang trí ước tính bằng</t>
  </si>
  <si>
    <t xml:space="preserve"> - Chi phí tiếp thị, quảng cáo, PR</t>
  </si>
  <si>
    <t xml:space="preserve"> - Chi phí nguyên liệu thức ăn cho nhà hàng ước tính bằng</t>
  </si>
  <si>
    <t>Chi phí điện nước, wifi, internet, cáp …</t>
  </si>
  <si>
    <t>Chi phí tu bổ thiết bị phòng nghỉ, trang trí …</t>
  </si>
  <si>
    <t>Chi phí tiếp thị, quảng cáo, PR</t>
  </si>
  <si>
    <t>Chi phí nguyên liệu pha chế cà phê, giải khát …</t>
  </si>
  <si>
    <t xml:space="preserve"> - Chi phí nguyên liệu phục vụ bar, cà phê, giải khát ... ước tính bằng</t>
  </si>
  <si>
    <t>Khách sạn 3 sao</t>
  </si>
  <si>
    <t>doanh thu từ dịch vụ giải trí, bar cà phê, giải khát</t>
  </si>
  <si>
    <t>PHÂN TÍCH HIỆU QUẢ TÀI CHÍNH DỰ ÁN TRUNG TÂM ĐĂNG KIỂM</t>
  </si>
  <si>
    <t>PHÂN TÍCH HIỆU QUẢ TÀI CHÍNH DỰ ÁN BẾN XE NAM VINH</t>
  </si>
  <si>
    <t xml:space="preserve"> * Chi phí thuê đất hàng năm</t>
  </si>
  <si>
    <t xml:space="preserve">  + Diện tích đất trung tâm đăng kiểm:</t>
  </si>
  <si>
    <t>m2</t>
  </si>
  <si>
    <t xml:space="preserve">  + Đơn giá thuê đất 5 năm đầu tiên:</t>
  </si>
  <si>
    <t>đồng/1m2/năm</t>
  </si>
  <si>
    <t xml:space="preserve">  + Đơn giá thuê đất sau mỗi 5 năm dự kiến tăng:</t>
  </si>
  <si>
    <t xml:space="preserve"> 3.4 Chi phí thuê đất hàng năm</t>
  </si>
  <si>
    <t xml:space="preserve">  + Diện tích đất cửa hàng xăng dầu:</t>
  </si>
  <si>
    <t xml:space="preserve">  + Diện tích đất trạm dừng nghỉ:</t>
  </si>
  <si>
    <t>lượt khách/ngày</t>
  </si>
  <si>
    <t xml:space="preserve"> + Doanh thu vận tải khách</t>
  </si>
  <si>
    <t xml:space="preserve"> + Doanh thu vận tải hàng hóa</t>
  </si>
  <si>
    <t xml:space="preserve"> + Doanh thu phí cổng</t>
  </si>
  <si>
    <t xml:space="preserve"> + Doanh thu kinh doanh nhà nghỉ</t>
  </si>
  <si>
    <t xml:space="preserve"> + Doanh thu trông giữ xe thô sơ, xe máy</t>
  </si>
  <si>
    <t xml:space="preserve"> + Doanh thu rửa xe</t>
  </si>
  <si>
    <t xml:space="preserve"> + Doanh thu cho thuê kho bãi</t>
  </si>
  <si>
    <t xml:space="preserve"> Doanh thu của dự án được tính toán dựa trên doanh thu của các dịch vụ sau:</t>
  </si>
  <si>
    <t>chuyến</t>
  </si>
  <si>
    <t>Nội tỉnh</t>
  </si>
  <si>
    <t>Ngoại tỉnh</t>
  </si>
  <si>
    <t>Vận tải khách</t>
  </si>
  <si>
    <t xml:space="preserve"> Doanh thu của dự án được tính toán dựa trên doanh thu của các sản phẩm như sau (cả năm):</t>
  </si>
  <si>
    <t>Số ngày hoạt động/1 năm</t>
  </si>
  <si>
    <t>Vận tải hàng hóa</t>
  </si>
  <si>
    <t>Mức thu phí bình quân</t>
  </si>
  <si>
    <t>Phí cổng</t>
  </si>
  <si>
    <t>lượt</t>
  </si>
  <si>
    <t>Trông giữ xe thô sơ, xe máy</t>
  </si>
  <si>
    <t>Rửa xe</t>
  </si>
  <si>
    <t>Cho thuê kho bãi</t>
  </si>
  <si>
    <t>Tổng số /1năm</t>
  </si>
  <si>
    <t xml:space="preserve"> - Mức tăng giá dịch vụ hàng năm dự kiến:</t>
  </si>
  <si>
    <t xml:space="preserve"> - Mức tăng sản lượng hàng năm dự kiến:</t>
  </si>
  <si>
    <t>Số
lượng/1ngày đêm</t>
  </si>
  <si>
    <t xml:space="preserve"> * Giá, phí thu dịch vụ hàng năm</t>
  </si>
  <si>
    <t>Mức tăng giá, phí thu hàng năm</t>
  </si>
  <si>
    <t xml:space="preserve">  Chi phí hoạt động bao gồm: Chi phí lương nhân công, chi phí bảo hiểm phúc lợi cho nhân viên, chi phí điện nước,  chi phí tu bổ, nâng cấp trang thiết bị phòng nghỉ, thiết bị rửa xe và các chi phí khác.</t>
  </si>
  <si>
    <t xml:space="preserve">  + Diện tích đất xây dựng xưởng sửa chữa và kho hàng:</t>
  </si>
  <si>
    <t xml:space="preserve">  Diện tích sử dụng hoạt động bến xe được miễn phí thuê đất, tuy nhiên khu đất xây dựng xưởng sửa chữa và kho hàng phục vụ kinh doanh vẫn phải tính tiền thuê đất hàng năm.</t>
  </si>
  <si>
    <t>Trưởng bến</t>
  </si>
  <si>
    <t>Phó trưởng bến</t>
  </si>
  <si>
    <t>Nhân viên bán vé</t>
  </si>
  <si>
    <t>Nhân viên vệ sinh</t>
  </si>
  <si>
    <t>Nhân viên thu phí</t>
  </si>
  <si>
    <t>An ninh trật tự:         Tổ trưởng</t>
  </si>
  <si>
    <t xml:space="preserve">                                 ANTT</t>
  </si>
  <si>
    <t xml:space="preserve"> - Chi phí điện nước, internet, cáp ước tính bằng</t>
  </si>
  <si>
    <t>doanh thu của Bến xe</t>
  </si>
  <si>
    <t xml:space="preserve"> - Chi phí tu bổ thiết bị, phòng nghỉ, trang trí ước tính bằng</t>
  </si>
  <si>
    <t>Chi phí điện nước, internet, cáp …</t>
  </si>
  <si>
    <t>Nhà để xe</t>
  </si>
  <si>
    <t>Xưởng làm lốp</t>
  </si>
  <si>
    <t>Nhà xưởng, nhà điều hành</t>
  </si>
  <si>
    <t xml:space="preserve">Xưởng kiểm định xe </t>
  </si>
  <si>
    <t>Văn phòng điều hành (2 tầng)</t>
  </si>
  <si>
    <t>Đường giao thông, bãi chờ xe</t>
  </si>
  <si>
    <t>Mái che khu vực kiểm tra khí thải</t>
  </si>
  <si>
    <t>Vỉa hè, cây xanh</t>
  </si>
  <si>
    <t>Mương thoát nước</t>
  </si>
  <si>
    <t>Hố cát chữa cháy</t>
  </si>
  <si>
    <t>1</t>
  </si>
  <si>
    <t>2</t>
  </si>
  <si>
    <t>3</t>
  </si>
  <si>
    <t>4</t>
  </si>
  <si>
    <t>5</t>
  </si>
  <si>
    <t>6</t>
  </si>
  <si>
    <t>7</t>
  </si>
  <si>
    <t>8</t>
  </si>
  <si>
    <t>9</t>
  </si>
  <si>
    <t>E</t>
  </si>
  <si>
    <t xml:space="preserve">  - Phương pháp khấu hao: Theo đường thẳng</t>
  </si>
  <si>
    <t>Giàn mái trạm bơm xăng</t>
  </si>
  <si>
    <t>Nhà điều hành + nghỉ nhân viên</t>
  </si>
  <si>
    <t>Đường giao thông, bãi đổ xe (bê tông xi măng mác 350, dày 24cm, móng cấp phối đá dăm)</t>
  </si>
  <si>
    <t>Chống nổi bể, hố van..</t>
  </si>
  <si>
    <t xml:space="preserve">Mặt bằng, rãnh đấu nối, lắp đặt thiết bị </t>
  </si>
  <si>
    <t>Cầu rửa xe</t>
  </si>
  <si>
    <t>Hệ thống mương thoát nước</t>
  </si>
  <si>
    <t>Phụ trợ</t>
  </si>
  <si>
    <t>Đường giao thông, sân bãi</t>
  </si>
  <si>
    <t>Sân đỗ xe và đường ra vào+khu rửa xe</t>
  </si>
  <si>
    <t>Vệ sinh công cộng</t>
  </si>
  <si>
    <t>Kho</t>
  </si>
  <si>
    <t>Khu vực mái sảnh cà phê khách chờ</t>
  </si>
  <si>
    <t>Khu nhà kinh doanh đồ lưu niệm +siêu thị vùng miền</t>
  </si>
  <si>
    <t>Khu nhà ăn, nhà điều hành, phòng nghỉ tạm, phòng y tế ( 2 tầng 850*2)</t>
  </si>
  <si>
    <t>Vỉa hè, bồn hoa, cây xanh</t>
  </si>
  <si>
    <t>10</t>
  </si>
  <si>
    <t>11</t>
  </si>
  <si>
    <t xml:space="preserve">Cầu rửa xe </t>
  </si>
  <si>
    <t>12</t>
  </si>
  <si>
    <t>Bể nước ngầm (80m3*4.000.000)</t>
  </si>
  <si>
    <t>13</t>
  </si>
  <si>
    <t>hệ thống PCCC ngoài nhà</t>
  </si>
  <si>
    <t>14</t>
  </si>
  <si>
    <t>Hệ thống chiếu sáng ngoài nhà</t>
  </si>
  <si>
    <t>15</t>
  </si>
  <si>
    <t>Hệ thống xử lý nước thải</t>
  </si>
  <si>
    <t>16</t>
  </si>
  <si>
    <t>Nhà bảo vệ +trụ cổng</t>
  </si>
  <si>
    <t>Bãi đỗ xe, đường giao thông</t>
  </si>
  <si>
    <t>Trạm xăng dầu</t>
  </si>
  <si>
    <t>Nhà điều hành, nghỉ nhân viên</t>
  </si>
  <si>
    <t>Sân, bãi đỗ xe</t>
  </si>
  <si>
    <t>Chi phí xây dựng</t>
  </si>
  <si>
    <t>Khu vực cà phê vườn</t>
  </si>
  <si>
    <t>Khách sản tiêu chuẩn 3 sao</t>
  </si>
  <si>
    <t>Gara để xe ô tô</t>
  </si>
  <si>
    <t>Chi phí thiết bị</t>
  </si>
  <si>
    <t xml:space="preserve">Thiết bị khách sản tiêu chuẩn 3 sao </t>
  </si>
  <si>
    <t>CHI PHÍ XÂY DỰNG</t>
  </si>
  <si>
    <t xml:space="preserve">Sân bãi và đường ra vào, khu rửa xe </t>
  </si>
  <si>
    <t>Cổng vào +cổng ra</t>
  </si>
  <si>
    <t>Nhà quản lý + nghỉ trọ (2 tầngx460m2)</t>
  </si>
  <si>
    <t>Nhà cầu đón trả khách</t>
  </si>
  <si>
    <t>Gara xe đạp, xe máy</t>
  </si>
  <si>
    <t>Nhà vệ sinh công cộng</t>
  </si>
  <si>
    <t xml:space="preserve">Kho </t>
  </si>
  <si>
    <t>Bể nước ngầm PCCC( 80m3*4.000.000)</t>
  </si>
  <si>
    <t>Xưởng sửa chữa và kho chứa hàng hòa</t>
  </si>
  <si>
    <t xml:space="preserve">Hố cát chữa cháy </t>
  </si>
  <si>
    <t>Hệ thống PCCC</t>
  </si>
  <si>
    <t>CHI PHÍ THIẾT BỊ</t>
  </si>
  <si>
    <t>Nhà điều hành</t>
  </si>
  <si>
    <t>Số ngày làm việc trong năm:</t>
  </si>
  <si>
    <t>Nhân viên hành chính</t>
  </si>
  <si>
    <t>Bãi đỗ xe, đường ra vào</t>
  </si>
  <si>
    <t xml:space="preserve"> - Thời gian tính toán hiệu quả của dự án là:</t>
  </si>
  <si>
    <t xml:space="preserve"> + Các dịch vụ khác như: Dầu mỡ nhờn, Gas, Bảo hiểm ô tô, xe máy, dịch vụ rửa xe, cà phê giải khát …</t>
  </si>
  <si>
    <t>Dịch vụ khác</t>
  </si>
  <si>
    <t>%</t>
  </si>
  <si>
    <t>Dịch vụ khác (tạm tính theo tỷ lệ % doanh thu xăng dầu)</t>
  </si>
  <si>
    <t xml:space="preserve"> - Chi phí đầu vào cho các dịch vụ khác</t>
  </si>
  <si>
    <t>doanh thu từ các dịch vụ khác</t>
  </si>
  <si>
    <t>Chi phí đầu vào cho các dịch vụ khác</t>
  </si>
  <si>
    <t xml:space="preserve"> + Công suất tối đa mỗi ngày có khoảng:</t>
  </si>
  <si>
    <t xml:space="preserve"> + Ước tính tối đa mỗi ngày có khoảng:</t>
  </si>
  <si>
    <t>Số lượt xe tối đa/ngày</t>
  </si>
  <si>
    <t>Số lượt khách tối đa/ngày</t>
  </si>
  <si>
    <t xml:space="preserve">   Sau khi Dự án hoàn thành, trạm dừng chân đi vào hoạt động đã bắt đầu có lợi nhuận từ năm hoạt động đầu tiên. Tuy nhiên năm đầu tiên lợi nhuận của dự án chưa cao vì dự án mới hoàn thành công suất chưa đạt tối ưu, số lượt xe và khách ghé vào trạm, sử dụng các dịch vụ còn thấp. Những năm sau đó, kế hoạch kinh doanh khả thi, mang lại lợi nhuận cao cho chủ đầu tư khi dự án nâng cao công suất. Lợi nhuận của dự án tăng đồng đều qua các năm. </t>
  </si>
  <si>
    <t>doanh thu từ kinh doanh Xăng, dầu</t>
  </si>
  <si>
    <t xml:space="preserve">  + Diện tích đất khu vực khách sạn:</t>
  </si>
  <si>
    <t>Chưa VAT</t>
  </si>
  <si>
    <t>Tổng lương/tháng
/người</t>
  </si>
  <si>
    <t>Giá dịch vụ hàng năm</t>
  </si>
  <si>
    <t>Chi phí tu bổ thiết bị, phòng nghỉ</t>
  </si>
  <si>
    <t xml:space="preserve">   Sau khi Dự án hoàn thành, do đã có kinh nghiệm trong hoạt động kinh doanh bến xe và di dời Bến xe Chợ Vinh ra nên Bến xe Nam Vinh đi vào hoạt động đã bắt đầu có lợi nhuận từ năm hoạt động đầu tiên. Những năm sau đó, kế hoạch kinh doanh khả thi, mang lại lợi nhuận cao cho chủ đầu tư khi dự án nâng cao công suất. Lợi nhuận của dự án tăng đồng đều qua các năm. </t>
  </si>
  <si>
    <t>Sân đỗ xe và đường ra vào</t>
  </si>
  <si>
    <t xml:space="preserve">   Tính toán khấu hao cho tài sản cố định được áp dụng theo Thông tư số 45/2018/TT-BTC ngày 07/5/2018 hướng dẫn chế độ quản lý, tính hao mòn, khấu hao tài sản cố định. Thông tư số 45/2013/TT-BTC ngày 25/4/2013 về việc hướng dẫn chế độ quản lý, sử dụng và trích khấu hao tài sản cố định và Thông tư 147/2016/TT-BTC ngày 13/10/2016 sửa đổi bổ sung một số điều của Thông tu 45/2013/TT-BTC. Thời gian khấu hao tài sản cụ thể như sau:</t>
  </si>
  <si>
    <t>Trong 4 năm tiếp theo hiệu suất tăng vượt theo hiệu suất dự kiến khoảng:</t>
  </si>
  <si>
    <t>Mức phí kiểm định dự kiến tăng sau mỗi 5 năm khoảng:</t>
  </si>
  <si>
    <t>Cho thuê Xưởng làm lốp</t>
  </si>
  <si>
    <t xml:space="preserve">Mức phí </t>
  </si>
  <si>
    <t>Mức phí cho thuê Xưởng làm lốp mỗi 5 năm tăng khoảng:</t>
  </si>
  <si>
    <t xml:space="preserve"> + Trong 5 năm đầu công suất tăng:</t>
  </si>
  <si>
    <t xml:space="preserve"> + 5 năm tiếp theo công suất tăng:</t>
  </si>
  <si>
    <t xml:space="preserve"> + Từ năm thứ 11 công suất tăng:</t>
  </si>
  <si>
    <t>ổn định công suất 75% của trạm dừng nghỉ</t>
  </si>
  <si>
    <t xml:space="preserve"> - Tốc độ tăng công suất phục vụ 5 năm đầu:</t>
  </si>
  <si>
    <t xml:space="preserve"> - Tốc độ tăng công suất phục vụ 5 năm tiếp theo:</t>
  </si>
  <si>
    <t xml:space="preserve"> - Tốc độ tăng công suất phục vụ từ năm thứ 11:</t>
  </si>
  <si>
    <t>đến năm thứ 15 đạt 75% công suất của khách sạn</t>
  </si>
  <si>
    <t>Khách vãng lai (người/ngày):</t>
  </si>
  <si>
    <t>Nhà cầu, gara xe máy, nhà vệ sinh công cộng, kho hàng hóa</t>
  </si>
</sst>
</file>

<file path=xl/styles.xml><?xml version="1.0" encoding="utf-8"?>
<styleSheet xmlns="http://schemas.openxmlformats.org/spreadsheetml/2006/main">
  <numFmts count="7">
    <numFmt numFmtId="43" formatCode="_-* #,##0.00\ _₫_-;\-* #,##0.00\ _₫_-;_-* &quot;-&quot;??\ _₫_-;_-@_-"/>
    <numFmt numFmtId="164" formatCode="_-* #,##0\ _₫_-;\-* #,##0\ _₫_-;_-* &quot;-&quot;??\ _₫_-;_-@_-"/>
    <numFmt numFmtId="165" formatCode="#,##0_ ;\-#,##0\ "/>
    <numFmt numFmtId="166" formatCode="0.0%"/>
    <numFmt numFmtId="167" formatCode="_-* #,##0.00000\ _₫_-;\-* #,##0.00000\ _₫_-;_-* &quot;-&quot;??\ _₫_-;_-@_-"/>
    <numFmt numFmtId="168" formatCode="0.000"/>
    <numFmt numFmtId="169" formatCode="#,##0.000"/>
  </numFmts>
  <fonts count="22">
    <font>
      <sz val="11"/>
      <color theme="1"/>
      <name val="Arial"/>
      <family val="2"/>
      <scheme val="minor"/>
    </font>
    <font>
      <sz val="13"/>
      <color theme="1"/>
      <name val="Times New Roman"/>
      <family val="1"/>
      <charset val="163"/>
      <scheme val="major"/>
    </font>
    <font>
      <b/>
      <sz val="13"/>
      <color theme="1"/>
      <name val="Times New Roman"/>
      <family val="1"/>
      <charset val="163"/>
      <scheme val="major"/>
    </font>
    <font>
      <sz val="11"/>
      <color theme="1"/>
      <name val="Arial"/>
      <family val="2"/>
      <scheme val="minor"/>
    </font>
    <font>
      <i/>
      <sz val="13"/>
      <color theme="1"/>
      <name val="Times New Roman"/>
      <family val="1"/>
      <charset val="163"/>
      <scheme val="major"/>
    </font>
    <font>
      <sz val="11"/>
      <color theme="1"/>
      <name val="Times New Roman"/>
      <family val="1"/>
      <charset val="163"/>
      <scheme val="major"/>
    </font>
    <font>
      <b/>
      <sz val="12.5"/>
      <color theme="1"/>
      <name val="Times New Roman"/>
      <family val="1"/>
      <charset val="163"/>
      <scheme val="major"/>
    </font>
    <font>
      <b/>
      <sz val="12"/>
      <color theme="1"/>
      <name val="Times New Roman"/>
      <family val="1"/>
      <charset val="163"/>
      <scheme val="major"/>
    </font>
    <font>
      <sz val="12.5"/>
      <color theme="1"/>
      <name val="Times New Roman"/>
      <family val="1"/>
      <charset val="163"/>
      <scheme val="major"/>
    </font>
    <font>
      <b/>
      <sz val="13"/>
      <name val="Times New Roman"/>
      <family val="1"/>
      <charset val="163"/>
      <scheme val="major"/>
    </font>
    <font>
      <b/>
      <sz val="14"/>
      <color theme="1"/>
      <name val="Times New Roman"/>
      <family val="1"/>
      <charset val="163"/>
      <scheme val="major"/>
    </font>
    <font>
      <b/>
      <i/>
      <sz val="13"/>
      <color rgb="FF0070C0"/>
      <name val="Times New Roman"/>
      <family val="1"/>
      <charset val="163"/>
      <scheme val="major"/>
    </font>
    <font>
      <i/>
      <sz val="13"/>
      <color rgb="FF0070C0"/>
      <name val="Times New Roman"/>
      <family val="1"/>
      <charset val="163"/>
      <scheme val="major"/>
    </font>
    <font>
      <b/>
      <u/>
      <sz val="13"/>
      <color theme="1"/>
      <name val="Times New Roman"/>
      <family val="1"/>
      <charset val="163"/>
      <scheme val="major"/>
    </font>
    <font>
      <sz val="11"/>
      <name val="Times New Roman"/>
      <family val="2"/>
    </font>
    <font>
      <b/>
      <i/>
      <sz val="13"/>
      <color theme="1"/>
      <name val="Times New Roman"/>
      <family val="1"/>
      <charset val="163"/>
      <scheme val="major"/>
    </font>
    <font>
      <i/>
      <sz val="12"/>
      <color theme="1"/>
      <name val="Times New Roman"/>
      <family val="1"/>
      <charset val="163"/>
      <scheme val="major"/>
    </font>
    <font>
      <b/>
      <sz val="11"/>
      <name val="Times New Roman"/>
      <family val="1"/>
    </font>
    <font>
      <sz val="11"/>
      <name val="Times New Roman"/>
      <family val="1"/>
    </font>
    <font>
      <sz val="11"/>
      <color indexed="8"/>
      <name val="Times New Roman"/>
      <family val="2"/>
    </font>
    <font>
      <b/>
      <sz val="11"/>
      <name val="Times New Roman"/>
      <family val="2"/>
    </font>
    <font>
      <sz val="12"/>
      <color theme="1"/>
      <name val="Times New Roman"/>
      <family val="1"/>
      <charset val="163"/>
      <scheme val="major"/>
    </font>
  </fonts>
  <fills count="4">
    <fill>
      <patternFill patternType="none"/>
    </fill>
    <fill>
      <patternFill patternType="gray125"/>
    </fill>
    <fill>
      <patternFill patternType="solid">
        <fgColor theme="8" tint="0.79998168889431442"/>
        <bgColor indexed="64"/>
      </patternFill>
    </fill>
    <fill>
      <patternFill patternType="solid">
        <fgColor them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385">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xf>
    <xf numFmtId="9" fontId="1" fillId="0" borderId="0" xfId="2" applyFont="1"/>
    <xf numFmtId="9" fontId="1" fillId="0" borderId="0" xfId="2" applyFont="1" applyAlignment="1">
      <alignment horizontal="center"/>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xf numFmtId="0" fontId="2" fillId="0" borderId="0" xfId="0" applyFont="1" applyAlignment="1">
      <alignment horizontal="left"/>
    </xf>
    <xf numFmtId="164" fontId="1" fillId="0" borderId="0" xfId="0" applyNumberFormat="1" applyFont="1"/>
    <xf numFmtId="3" fontId="1" fillId="0" borderId="0" xfId="1" applyNumberFormat="1" applyFont="1" applyAlignment="1"/>
    <xf numFmtId="9" fontId="2" fillId="0" borderId="1" xfId="2" applyFont="1" applyBorder="1" applyAlignment="1">
      <alignment horizontal="center"/>
    </xf>
    <xf numFmtId="3" fontId="2" fillId="0" borderId="1" xfId="1" applyNumberFormat="1" applyFont="1" applyBorder="1" applyAlignment="1">
      <alignment horizontal="center"/>
    </xf>
    <xf numFmtId="0" fontId="1" fillId="0" borderId="1" xfId="0" applyFont="1" applyBorder="1" applyAlignment="1">
      <alignment horizontal="center"/>
    </xf>
    <xf numFmtId="0" fontId="1" fillId="0" borderId="1" xfId="0" applyFont="1" applyBorder="1"/>
    <xf numFmtId="9" fontId="2" fillId="0" borderId="1" xfId="2" applyFont="1" applyBorder="1"/>
    <xf numFmtId="3" fontId="1" fillId="0" borderId="1" xfId="1" applyNumberFormat="1" applyFont="1" applyBorder="1" applyAlignment="1"/>
    <xf numFmtId="9" fontId="1" fillId="0" borderId="1" xfId="2" applyFont="1" applyBorder="1"/>
    <xf numFmtId="0" fontId="2" fillId="0" borderId="1" xfId="0" applyFont="1" applyBorder="1" applyAlignment="1">
      <alignment horizontal="center"/>
    </xf>
    <xf numFmtId="0" fontId="2" fillId="0" borderId="1" xfId="0" applyFont="1" applyBorder="1" applyAlignment="1">
      <alignment horizontal="left"/>
    </xf>
    <xf numFmtId="0" fontId="4" fillId="0" borderId="1" xfId="0" applyFont="1" applyBorder="1" applyAlignment="1">
      <alignment horizontal="left"/>
    </xf>
    <xf numFmtId="0" fontId="1" fillId="0" borderId="1" xfId="0" applyFont="1" applyBorder="1" applyAlignment="1">
      <alignment horizontal="left"/>
    </xf>
    <xf numFmtId="165" fontId="1" fillId="0" borderId="1" xfId="1" applyNumberFormat="1" applyFont="1" applyBorder="1" applyAlignment="1">
      <alignment horizontal="right"/>
    </xf>
    <xf numFmtId="9" fontId="1" fillId="0" borderId="0" xfId="2" applyNumberFormat="1" applyFont="1"/>
    <xf numFmtId="0" fontId="1" fillId="0" borderId="0" xfId="0" applyFont="1" applyAlignment="1">
      <alignment wrapText="1"/>
    </xf>
    <xf numFmtId="9" fontId="1" fillId="0" borderId="0" xfId="0" applyNumberFormat="1" applyFont="1" applyAlignment="1">
      <alignment wrapText="1"/>
    </xf>
    <xf numFmtId="167" fontId="1" fillId="0" borderId="0" xfId="1" applyNumberFormat="1" applyFont="1"/>
    <xf numFmtId="165" fontId="2" fillId="0" borderId="1" xfId="1" applyNumberFormat="1" applyFont="1" applyBorder="1" applyAlignment="1">
      <alignment horizontal="right"/>
    </xf>
    <xf numFmtId="9" fontId="4" fillId="0" borderId="0" xfId="2" applyFont="1"/>
    <xf numFmtId="3" fontId="4" fillId="0" borderId="0" xfId="1" applyNumberFormat="1" applyFont="1" applyAlignment="1"/>
    <xf numFmtId="166" fontId="1" fillId="0" borderId="0" xfId="2" applyNumberFormat="1" applyFont="1" applyAlignment="1">
      <alignment horizontal="center"/>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9" fontId="2" fillId="0" borderId="1" xfId="2" applyFont="1" applyBorder="1" applyAlignment="1">
      <alignment horizontal="center" vertical="center" wrapText="1"/>
    </xf>
    <xf numFmtId="3" fontId="2" fillId="0" borderId="1" xfId="1" applyNumberFormat="1" applyFont="1" applyBorder="1" applyAlignment="1">
      <alignment horizontal="center" vertical="center" wrapText="1"/>
    </xf>
    <xf numFmtId="164" fontId="1" fillId="0" borderId="1" xfId="1" applyNumberFormat="1" applyFont="1" applyBorder="1" applyAlignment="1">
      <alignment horizontal="right"/>
    </xf>
    <xf numFmtId="164" fontId="5" fillId="0" borderId="0" xfId="0" applyNumberFormat="1" applyFont="1" applyAlignment="1">
      <alignment horizontal="center"/>
    </xf>
    <xf numFmtId="164" fontId="7" fillId="0" borderId="1" xfId="1" applyNumberFormat="1" applyFont="1" applyBorder="1" applyAlignment="1">
      <alignment horizontal="center"/>
    </xf>
    <xf numFmtId="0" fontId="7" fillId="0" borderId="1" xfId="0" applyFont="1" applyBorder="1" applyAlignment="1">
      <alignment horizontal="center"/>
    </xf>
    <xf numFmtId="0" fontId="2" fillId="0" borderId="1" xfId="0" applyFont="1" applyBorder="1" applyAlignment="1">
      <alignment horizontal="center"/>
    </xf>
    <xf numFmtId="0" fontId="1" fillId="0" borderId="1" xfId="0" applyFont="1" applyBorder="1" applyAlignment="1">
      <alignment horizontal="left"/>
    </xf>
    <xf numFmtId="164" fontId="8" fillId="0" borderId="1" xfId="0" applyNumberFormat="1" applyFont="1" applyBorder="1" applyAlignment="1">
      <alignment horizontal="center"/>
    </xf>
    <xf numFmtId="164" fontId="8" fillId="0" borderId="1" xfId="1" applyNumberFormat="1" applyFont="1" applyBorder="1"/>
    <xf numFmtId="164" fontId="1" fillId="0" borderId="1" xfId="1" applyNumberFormat="1" applyFont="1" applyBorder="1" applyAlignment="1">
      <alignment horizontal="right"/>
    </xf>
    <xf numFmtId="0" fontId="1" fillId="0" borderId="1" xfId="0" applyFont="1" applyBorder="1" applyAlignment="1">
      <alignment horizontal="center"/>
    </xf>
    <xf numFmtId="9" fontId="4" fillId="0" borderId="1" xfId="2" applyFont="1" applyBorder="1" applyAlignment="1">
      <alignment horizontal="center"/>
    </xf>
    <xf numFmtId="165" fontId="4" fillId="0" borderId="1" xfId="0" applyNumberFormat="1" applyFont="1" applyBorder="1"/>
    <xf numFmtId="165" fontId="4" fillId="0" borderId="1" xfId="2" applyNumberFormat="1" applyFont="1" applyBorder="1"/>
    <xf numFmtId="165" fontId="2" fillId="0" borderId="1" xfId="0" applyNumberFormat="1" applyFont="1" applyBorder="1"/>
    <xf numFmtId="0" fontId="2" fillId="0" borderId="0" xfId="0" applyFont="1" applyBorder="1" applyAlignment="1">
      <alignment horizontal="center"/>
    </xf>
    <xf numFmtId="165" fontId="4" fillId="0" borderId="0" xfId="2" applyNumberFormat="1" applyFont="1" applyBorder="1"/>
    <xf numFmtId="165" fontId="2" fillId="0" borderId="0" xfId="0" applyNumberFormat="1" applyFont="1" applyBorder="1"/>
    <xf numFmtId="0" fontId="2" fillId="0" borderId="4" xfId="0" applyFont="1" applyBorder="1" applyAlignment="1">
      <alignment horizontal="center"/>
    </xf>
    <xf numFmtId="165" fontId="4" fillId="0" borderId="4" xfId="2" applyNumberFormat="1" applyFont="1" applyBorder="1"/>
    <xf numFmtId="165" fontId="2" fillId="0" borderId="4" xfId="0" applyNumberFormat="1" applyFont="1" applyBorder="1"/>
    <xf numFmtId="165" fontId="9" fillId="0" borderId="1" xfId="0" applyNumberFormat="1" applyFont="1" applyBorder="1"/>
    <xf numFmtId="0" fontId="2" fillId="0" borderId="1" xfId="0" applyFont="1" applyBorder="1" applyAlignment="1">
      <alignment horizontal="center" vertical="center"/>
    </xf>
    <xf numFmtId="165" fontId="2" fillId="0" borderId="1" xfId="0" applyNumberFormat="1" applyFont="1" applyBorder="1" applyAlignment="1">
      <alignment horizontal="center" vertical="center"/>
    </xf>
    <xf numFmtId="0" fontId="13" fillId="0" borderId="1" xfId="0" applyFont="1" applyBorder="1" applyAlignment="1">
      <alignment horizontal="center" vertical="center"/>
    </xf>
    <xf numFmtId="165" fontId="13" fillId="0" borderId="1" xfId="1" applyNumberFormat="1" applyFont="1" applyBorder="1" applyAlignment="1">
      <alignment horizontal="center" vertical="center"/>
    </xf>
    <xf numFmtId="0" fontId="1" fillId="0" borderId="1" xfId="0" applyFont="1" applyBorder="1" applyAlignment="1">
      <alignment horizontal="center" vertical="center"/>
    </xf>
    <xf numFmtId="165" fontId="4" fillId="0" borderId="1" xfId="0" applyNumberFormat="1" applyFont="1" applyBorder="1" applyAlignment="1">
      <alignment horizontal="center" vertical="center"/>
    </xf>
    <xf numFmtId="165" fontId="4" fillId="0" borderId="1" xfId="0" applyNumberFormat="1" applyFont="1" applyBorder="1" applyAlignment="1">
      <alignment vertical="center"/>
    </xf>
    <xf numFmtId="165" fontId="13"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0" fontId="2" fillId="0" borderId="1" xfId="0" applyFont="1" applyBorder="1" applyAlignment="1">
      <alignment horizontal="center"/>
    </xf>
    <xf numFmtId="0" fontId="2" fillId="0" borderId="0" xfId="0" applyFont="1" applyAlignment="1">
      <alignment horizontal="left"/>
    </xf>
    <xf numFmtId="0" fontId="2" fillId="0" borderId="2" xfId="0" applyFont="1" applyBorder="1" applyAlignment="1">
      <alignment horizontal="center"/>
    </xf>
    <xf numFmtId="0" fontId="1" fillId="0" borderId="0" xfId="0" applyFont="1" applyAlignment="1">
      <alignment horizontal="right"/>
    </xf>
    <xf numFmtId="0" fontId="1" fillId="0" borderId="1" xfId="0" applyFont="1" applyBorder="1" applyAlignment="1">
      <alignment horizontal="center"/>
    </xf>
    <xf numFmtId="0" fontId="1" fillId="0" borderId="1" xfId="0" applyFont="1" applyBorder="1" applyAlignment="1">
      <alignment horizontal="left"/>
    </xf>
    <xf numFmtId="0" fontId="1" fillId="0" borderId="0" xfId="0" applyFont="1" applyAlignment="1">
      <alignment horizontal="left" wrapText="1"/>
    </xf>
    <xf numFmtId="0" fontId="1" fillId="0" borderId="0" xfId="0" applyFont="1" applyAlignment="1">
      <alignment wrapText="1"/>
    </xf>
    <xf numFmtId="0" fontId="1" fillId="0" borderId="0" xfId="0" applyFont="1" applyAlignment="1"/>
    <xf numFmtId="0" fontId="1" fillId="0" borderId="0" xfId="0" applyFont="1" applyAlignment="1">
      <alignment horizontal="center" wrapText="1"/>
    </xf>
    <xf numFmtId="9" fontId="1" fillId="0" borderId="0" xfId="2" applyFont="1" applyAlignment="1">
      <alignment wrapText="1"/>
    </xf>
    <xf numFmtId="4" fontId="1" fillId="0" borderId="1" xfId="2" applyNumberFormat="1" applyFont="1" applyBorder="1"/>
    <xf numFmtId="3" fontId="1" fillId="0" borderId="1" xfId="1" applyNumberFormat="1" applyFont="1" applyBorder="1"/>
    <xf numFmtId="3" fontId="1" fillId="0" borderId="1" xfId="2" applyNumberFormat="1" applyFont="1" applyBorder="1"/>
    <xf numFmtId="165" fontId="1" fillId="0" borderId="1" xfId="1" applyNumberFormat="1" applyFont="1" applyBorder="1"/>
    <xf numFmtId="3" fontId="2" fillId="0" borderId="1" xfId="1" applyNumberFormat="1" applyFont="1" applyBorder="1" applyAlignment="1"/>
    <xf numFmtId="9" fontId="4" fillId="0" borderId="0" xfId="2" applyFont="1" applyAlignment="1">
      <alignment horizontal="right"/>
    </xf>
    <xf numFmtId="0" fontId="2" fillId="0" borderId="1" xfId="0" applyFont="1" applyBorder="1" applyAlignment="1">
      <alignment horizontal="center"/>
    </xf>
    <xf numFmtId="0" fontId="2" fillId="0" borderId="0" xfId="0" applyFont="1" applyAlignment="1">
      <alignment horizontal="left"/>
    </xf>
    <xf numFmtId="0" fontId="1" fillId="0" borderId="0" xfId="0" applyFont="1" applyAlignment="1">
      <alignment horizontal="left" wrapText="1"/>
    </xf>
    <xf numFmtId="0" fontId="2" fillId="0" borderId="1" xfId="0" applyFont="1" applyBorder="1" applyAlignment="1">
      <alignment horizontal="left"/>
    </xf>
    <xf numFmtId="0" fontId="1" fillId="0" borderId="0" xfId="0" applyFont="1" applyAlignment="1">
      <alignment wrapText="1"/>
    </xf>
    <xf numFmtId="0" fontId="1" fillId="0" borderId="0" xfId="0" applyFont="1" applyAlignment="1"/>
    <xf numFmtId="0" fontId="1" fillId="0" borderId="0" xfId="0" applyFont="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left"/>
    </xf>
    <xf numFmtId="164" fontId="1" fillId="0" borderId="1" xfId="1" applyNumberFormat="1" applyFont="1" applyBorder="1" applyAlignment="1">
      <alignment horizontal="right"/>
    </xf>
    <xf numFmtId="0" fontId="1" fillId="0" borderId="0" xfId="0" applyFont="1" applyAlignment="1">
      <alignment horizontal="right"/>
    </xf>
    <xf numFmtId="0" fontId="1" fillId="0" borderId="1" xfId="0" applyFont="1" applyBorder="1" applyAlignment="1">
      <alignment horizontal="center"/>
    </xf>
    <xf numFmtId="0" fontId="1" fillId="0" borderId="0" xfId="0" applyFont="1" applyAlignment="1">
      <alignment horizontal="center"/>
    </xf>
    <xf numFmtId="0" fontId="2" fillId="0" borderId="2" xfId="0" applyFont="1" applyBorder="1" applyAlignment="1">
      <alignment horizontal="center"/>
    </xf>
    <xf numFmtId="0" fontId="1" fillId="0" borderId="1" xfId="0" applyFont="1" applyBorder="1" applyAlignment="1">
      <alignment horizontal="left" wrapText="1"/>
    </xf>
    <xf numFmtId="0" fontId="4" fillId="0" borderId="2" xfId="0" applyFont="1" applyBorder="1" applyAlignment="1"/>
    <xf numFmtId="0" fontId="1" fillId="0" borderId="2" xfId="0" applyFont="1" applyBorder="1" applyAlignment="1"/>
    <xf numFmtId="0" fontId="1" fillId="0" borderId="5" xfId="0" applyFont="1" applyBorder="1" applyAlignment="1">
      <alignment horizontal="center"/>
    </xf>
    <xf numFmtId="0" fontId="1" fillId="0" borderId="5" xfId="0" applyFont="1" applyBorder="1" applyAlignment="1"/>
    <xf numFmtId="165" fontId="1" fillId="0" borderId="5" xfId="1" applyNumberFormat="1" applyFont="1" applyBorder="1" applyAlignment="1">
      <alignment horizontal="right"/>
    </xf>
    <xf numFmtId="0" fontId="1" fillId="0" borderId="0" xfId="0" applyFont="1" applyBorder="1" applyAlignment="1">
      <alignment horizontal="center"/>
    </xf>
    <xf numFmtId="0" fontId="1" fillId="0" borderId="0" xfId="0" applyFont="1" applyBorder="1" applyAlignment="1"/>
    <xf numFmtId="165" fontId="1" fillId="0" borderId="0" xfId="1" applyNumberFormat="1" applyFont="1" applyBorder="1" applyAlignment="1">
      <alignment horizontal="right"/>
    </xf>
    <xf numFmtId="43" fontId="1" fillId="0" borderId="1" xfId="1" applyFont="1" applyBorder="1" applyAlignment="1">
      <alignment horizontal="right"/>
    </xf>
    <xf numFmtId="43" fontId="1" fillId="0" borderId="1" xfId="1" applyNumberFormat="1" applyFont="1" applyBorder="1" applyAlignment="1">
      <alignment horizontal="right"/>
    </xf>
    <xf numFmtId="166" fontId="4" fillId="0" borderId="1" xfId="2" applyNumberFormat="1" applyFont="1" applyBorder="1" applyAlignment="1">
      <alignment horizontal="center"/>
    </xf>
    <xf numFmtId="10" fontId="4" fillId="0" borderId="1" xfId="2" applyNumberFormat="1" applyFont="1" applyBorder="1" applyAlignment="1">
      <alignment horizontal="center"/>
    </xf>
    <xf numFmtId="164" fontId="1" fillId="0" borderId="0" xfId="1" applyNumberFormat="1" applyFont="1" applyAlignment="1">
      <alignment horizontal="right"/>
    </xf>
    <xf numFmtId="164" fontId="2" fillId="0" borderId="0" xfId="1" applyNumberFormat="1" applyFont="1" applyAlignment="1">
      <alignment horizontal="right"/>
    </xf>
    <xf numFmtId="10" fontId="1" fillId="0" borderId="0" xfId="2" applyNumberFormat="1" applyFont="1"/>
    <xf numFmtId="10" fontId="1" fillId="0" borderId="0" xfId="2" applyNumberFormat="1" applyFont="1" applyAlignment="1">
      <alignment horizontal="right"/>
    </xf>
    <xf numFmtId="165" fontId="4" fillId="0" borderId="1" xfId="1" applyNumberFormat="1" applyFont="1" applyBorder="1" applyAlignment="1">
      <alignment horizontal="center" vertical="center"/>
    </xf>
    <xf numFmtId="10" fontId="1" fillId="0" borderId="0" xfId="0" applyNumberFormat="1" applyFont="1"/>
    <xf numFmtId="10" fontId="1" fillId="0" borderId="0" xfId="0" applyNumberFormat="1" applyFont="1" applyAlignment="1">
      <alignment horizontal="center"/>
    </xf>
    <xf numFmtId="0" fontId="2" fillId="0" borderId="1" xfId="0" applyFont="1" applyBorder="1" applyAlignment="1">
      <alignment horizontal="center"/>
    </xf>
    <xf numFmtId="0" fontId="1" fillId="0" borderId="0" xfId="0" applyFont="1" applyAlignment="1">
      <alignment horizontal="center"/>
    </xf>
    <xf numFmtId="0" fontId="2" fillId="0" borderId="0" xfId="0" applyFont="1" applyAlignment="1">
      <alignment horizontal="left"/>
    </xf>
    <xf numFmtId="0" fontId="2" fillId="0" borderId="2" xfId="0" applyFont="1" applyBorder="1" applyAlignment="1">
      <alignment horizontal="center"/>
    </xf>
    <xf numFmtId="164" fontId="1" fillId="0" borderId="1" xfId="1" applyNumberFormat="1" applyFont="1" applyBorder="1" applyAlignment="1">
      <alignment horizontal="right"/>
    </xf>
    <xf numFmtId="0" fontId="1" fillId="0" borderId="0" xfId="0" applyFont="1" applyAlignment="1">
      <alignment horizontal="right"/>
    </xf>
    <xf numFmtId="0" fontId="1" fillId="0" borderId="1" xfId="0" applyFont="1" applyBorder="1" applyAlignment="1">
      <alignment horizontal="center"/>
    </xf>
    <xf numFmtId="0" fontId="1" fillId="0" borderId="1" xfId="0" applyFont="1" applyBorder="1" applyAlignment="1">
      <alignment horizontal="left"/>
    </xf>
    <xf numFmtId="0" fontId="1" fillId="0" borderId="0" xfId="0" applyFont="1" applyAlignment="1">
      <alignment horizontal="left" wrapText="1"/>
    </xf>
    <xf numFmtId="0" fontId="1" fillId="0" borderId="0" xfId="0" applyFont="1" applyAlignment="1">
      <alignment horizontal="left"/>
    </xf>
    <xf numFmtId="0" fontId="2" fillId="0" borderId="1" xfId="0" applyFont="1" applyBorder="1" applyAlignment="1">
      <alignment horizontal="left"/>
    </xf>
    <xf numFmtId="0" fontId="1" fillId="0" borderId="0" xfId="0" applyFont="1" applyAlignment="1">
      <alignment wrapText="1"/>
    </xf>
    <xf numFmtId="0" fontId="1" fillId="0" borderId="0" xfId="0" applyFont="1" applyAlignme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9" fontId="1" fillId="0" borderId="0" xfId="2" applyFont="1" applyAlignment="1">
      <alignment horizontal="center" wrapText="1"/>
    </xf>
    <xf numFmtId="0" fontId="2" fillId="0" borderId="0" xfId="0" applyFont="1" applyAlignment="1">
      <alignment horizontal="right"/>
    </xf>
    <xf numFmtId="9" fontId="1" fillId="0" borderId="0" xfId="0" applyNumberFormat="1" applyFont="1" applyAlignment="1">
      <alignment horizontal="center" wrapText="1"/>
    </xf>
    <xf numFmtId="165" fontId="1" fillId="0" borderId="0" xfId="1" applyNumberFormat="1" applyFont="1" applyAlignment="1">
      <alignment horizontal="center"/>
    </xf>
    <xf numFmtId="43" fontId="1" fillId="0" borderId="0" xfId="1" applyFont="1"/>
    <xf numFmtId="164" fontId="1" fillId="0" borderId="0" xfId="1" applyNumberFormat="1" applyFont="1"/>
    <xf numFmtId="9" fontId="1" fillId="0" borderId="1" xfId="2" applyFont="1" applyBorder="1" applyAlignment="1">
      <alignment horizontal="right"/>
    </xf>
    <xf numFmtId="0" fontId="1" fillId="0" borderId="1" xfId="0" applyFont="1" applyBorder="1" applyAlignment="1">
      <alignment horizontal="right"/>
    </xf>
    <xf numFmtId="3" fontId="1" fillId="0" borderId="1" xfId="1" applyNumberFormat="1" applyFont="1" applyBorder="1" applyAlignment="1">
      <alignment horizontal="right"/>
    </xf>
    <xf numFmtId="43" fontId="1" fillId="0" borderId="1" xfId="0" applyNumberFormat="1" applyFont="1" applyBorder="1" applyAlignment="1">
      <alignment horizontal="right"/>
    </xf>
    <xf numFmtId="165" fontId="1" fillId="0" borderId="1" xfId="0" applyNumberFormat="1" applyFont="1" applyBorder="1" applyAlignment="1">
      <alignment horizontal="right"/>
    </xf>
    <xf numFmtId="9" fontId="1" fillId="0" borderId="1" xfId="2" applyFont="1" applyBorder="1" applyAlignment="1">
      <alignment horizontal="center"/>
    </xf>
    <xf numFmtId="2" fontId="1" fillId="0" borderId="1" xfId="0" applyNumberFormat="1" applyFont="1" applyBorder="1" applyAlignment="1">
      <alignment horizontal="right"/>
    </xf>
    <xf numFmtId="2" fontId="1" fillId="0" borderId="1" xfId="2" applyNumberFormat="1" applyFont="1" applyBorder="1" applyAlignment="1">
      <alignment horizontal="right"/>
    </xf>
    <xf numFmtId="2" fontId="1" fillId="0" borderId="1" xfId="1" applyNumberFormat="1" applyFont="1" applyBorder="1" applyAlignment="1">
      <alignment horizontal="right"/>
    </xf>
    <xf numFmtId="1" fontId="4" fillId="0" borderId="1" xfId="0" applyNumberFormat="1" applyFont="1" applyBorder="1" applyAlignment="1">
      <alignment horizontal="right"/>
    </xf>
    <xf numFmtId="1" fontId="4" fillId="0" borderId="1" xfId="1" applyNumberFormat="1" applyFont="1" applyBorder="1" applyAlignment="1">
      <alignment horizontal="right"/>
    </xf>
    <xf numFmtId="0" fontId="4" fillId="0" borderId="1" xfId="0" applyFont="1" applyBorder="1" applyAlignment="1">
      <alignment horizontal="right"/>
    </xf>
    <xf numFmtId="3" fontId="2" fillId="0" borderId="1" xfId="0" applyNumberFormat="1" applyFont="1" applyBorder="1" applyAlignment="1">
      <alignment horizontal="right"/>
    </xf>
    <xf numFmtId="1" fontId="1" fillId="0" borderId="1" xfId="0" applyNumberFormat="1" applyFont="1" applyBorder="1" applyAlignment="1">
      <alignment horizontal="center"/>
    </xf>
    <xf numFmtId="165" fontId="4" fillId="0" borderId="1" xfId="1" applyNumberFormat="1" applyFont="1" applyBorder="1" applyAlignment="1">
      <alignment horizontal="right"/>
    </xf>
    <xf numFmtId="3" fontId="4" fillId="0" borderId="1" xfId="0" applyNumberFormat="1" applyFont="1" applyBorder="1" applyAlignment="1">
      <alignment horizontal="right"/>
    </xf>
    <xf numFmtId="0" fontId="1" fillId="0" borderId="0" xfId="0" applyFont="1" applyBorder="1" applyAlignment="1">
      <alignment horizontal="left"/>
    </xf>
    <xf numFmtId="164" fontId="8" fillId="0" borderId="0" xfId="0" applyNumberFormat="1" applyFont="1" applyBorder="1" applyAlignment="1">
      <alignment horizontal="center"/>
    </xf>
    <xf numFmtId="164" fontId="8" fillId="0" borderId="0" xfId="1" applyNumberFormat="1" applyFont="1" applyBorder="1"/>
    <xf numFmtId="164" fontId="1" fillId="0" borderId="1" xfId="0" applyNumberFormat="1" applyFont="1" applyBorder="1" applyAlignment="1">
      <alignment horizontal="center"/>
    </xf>
    <xf numFmtId="164" fontId="1" fillId="0" borderId="1" xfId="1" applyNumberFormat="1" applyFont="1" applyBorder="1"/>
    <xf numFmtId="9" fontId="8" fillId="0" borderId="0" xfId="2" applyFont="1" applyBorder="1" applyAlignment="1">
      <alignment horizontal="center"/>
    </xf>
    <xf numFmtId="9" fontId="8" fillId="0" borderId="0" xfId="2" applyFont="1" applyBorder="1" applyAlignment="1">
      <alignment horizontal="center" vertical="center"/>
    </xf>
    <xf numFmtId="0" fontId="1" fillId="0" borderId="0" xfId="0" applyFont="1" applyBorder="1" applyAlignment="1">
      <alignment horizontal="left"/>
    </xf>
    <xf numFmtId="164" fontId="6" fillId="0" borderId="1" xfId="0" applyNumberFormat="1" applyFont="1" applyBorder="1" applyAlignment="1">
      <alignment horizontal="center"/>
    </xf>
    <xf numFmtId="164" fontId="6" fillId="0" borderId="1" xfId="1" applyNumberFormat="1" applyFont="1" applyBorder="1" applyAlignment="1">
      <alignment horizontal="center"/>
    </xf>
    <xf numFmtId="165" fontId="6" fillId="0" borderId="1" xfId="0" applyNumberFormat="1" applyFont="1" applyBorder="1" applyAlignment="1">
      <alignment horizontal="center"/>
    </xf>
    <xf numFmtId="165" fontId="6" fillId="0" borderId="1" xfId="1" applyNumberFormat="1" applyFont="1" applyBorder="1" applyAlignment="1">
      <alignment horizontal="center"/>
    </xf>
    <xf numFmtId="165" fontId="2" fillId="0" borderId="1" xfId="0" applyNumberFormat="1" applyFont="1" applyBorder="1" applyAlignment="1">
      <alignment horizontal="right"/>
    </xf>
    <xf numFmtId="0" fontId="1" fillId="0" borderId="0" xfId="0" applyNumberFormat="1" applyFont="1" applyAlignment="1">
      <alignment horizontal="left" wrapText="1"/>
    </xf>
    <xf numFmtId="3" fontId="14" fillId="0" borderId="1" xfId="0" applyNumberFormat="1" applyFont="1" applyFill="1" applyBorder="1" applyAlignment="1">
      <alignment horizontal="right" vertical="top" wrapText="1"/>
    </xf>
    <xf numFmtId="0" fontId="2" fillId="0" borderId="1" xfId="0" applyFont="1" applyBorder="1" applyAlignment="1">
      <alignment horizontal="center"/>
    </xf>
    <xf numFmtId="0" fontId="1" fillId="0" borderId="1" xfId="0" applyFont="1" applyBorder="1" applyAlignment="1">
      <alignment horizontal="left"/>
    </xf>
    <xf numFmtId="0" fontId="2" fillId="0" borderId="1" xfId="0" applyFont="1" applyBorder="1" applyAlignment="1">
      <alignment horizontal="center" vertical="center"/>
    </xf>
    <xf numFmtId="0" fontId="1" fillId="0" borderId="0" xfId="0" applyFont="1" applyAlignment="1"/>
    <xf numFmtId="0" fontId="2" fillId="0" borderId="1" xfId="0" applyFont="1" applyBorder="1" applyAlignment="1">
      <alignment horizontal="center" vertical="center" wrapText="1"/>
    </xf>
    <xf numFmtId="164" fontId="4" fillId="0" borderId="1" xfId="1" applyNumberFormat="1" applyFont="1" applyBorder="1"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 fillId="0" borderId="1" xfId="0" applyFont="1" applyBorder="1" applyAlignment="1">
      <alignment horizontal="left" wrapText="1"/>
    </xf>
    <xf numFmtId="0" fontId="1" fillId="0" borderId="0" xfId="0" applyNumberFormat="1" applyFont="1" applyAlignment="1">
      <alignment horizontal="center" wrapText="1"/>
    </xf>
    <xf numFmtId="0" fontId="2" fillId="0" borderId="1" xfId="0" applyNumberFormat="1" applyFont="1" applyBorder="1" applyAlignment="1">
      <alignment horizontal="center" wrapText="1"/>
    </xf>
    <xf numFmtId="0" fontId="1" fillId="0" borderId="1" xfId="0" applyNumberFormat="1" applyFont="1" applyBorder="1" applyAlignment="1">
      <alignment horizontal="center" wrapText="1"/>
    </xf>
    <xf numFmtId="0" fontId="1" fillId="0" borderId="1" xfId="0" applyNumberFormat="1" applyFont="1" applyBorder="1" applyAlignment="1">
      <alignment horizontal="left" wrapText="1"/>
    </xf>
    <xf numFmtId="0" fontId="1" fillId="0" borderId="1" xfId="0" applyNumberFormat="1" applyFont="1" applyBorder="1" applyAlignment="1">
      <alignment horizontal="right" wrapText="1"/>
    </xf>
    <xf numFmtId="0" fontId="1" fillId="0" borderId="14" xfId="0" applyNumberFormat="1" applyFont="1" applyBorder="1" applyAlignment="1">
      <alignment horizontal="center" wrapText="1"/>
    </xf>
    <xf numFmtId="0" fontId="1" fillId="0" borderId="15" xfId="0" applyNumberFormat="1" applyFont="1" applyBorder="1" applyAlignment="1">
      <alignment horizontal="center" wrapText="1"/>
    </xf>
    <xf numFmtId="164" fontId="4" fillId="0" borderId="15" xfId="1" applyNumberFormat="1" applyFont="1" applyBorder="1" applyAlignment="1">
      <alignment horizontal="right" wrapText="1"/>
    </xf>
    <xf numFmtId="164" fontId="4" fillId="0" borderId="15" xfId="1" applyNumberFormat="1" applyFont="1" applyBorder="1" applyAlignment="1">
      <alignment horizontal="left" wrapText="1"/>
    </xf>
    <xf numFmtId="0" fontId="15" fillId="0" borderId="13" xfId="0" applyNumberFormat="1" applyFont="1" applyBorder="1" applyAlignment="1">
      <alignment horizontal="center" wrapText="1"/>
    </xf>
    <xf numFmtId="164" fontId="2" fillId="0" borderId="13" xfId="1" applyNumberFormat="1" applyFont="1" applyBorder="1" applyAlignment="1">
      <alignment horizontal="right" wrapText="1"/>
    </xf>
    <xf numFmtId="0" fontId="1" fillId="0" borderId="15" xfId="0" applyNumberFormat="1" applyFont="1" applyBorder="1" applyAlignment="1">
      <alignment horizontal="right" wrapText="1"/>
    </xf>
    <xf numFmtId="9" fontId="1" fillId="0" borderId="15" xfId="2" applyFont="1" applyBorder="1" applyAlignment="1">
      <alignment horizontal="center" wrapText="1"/>
    </xf>
    <xf numFmtId="164" fontId="1" fillId="0" borderId="15" xfId="1" applyNumberFormat="1" applyFont="1" applyBorder="1" applyAlignment="1">
      <alignment horizontal="right" wrapText="1"/>
    </xf>
    <xf numFmtId="0" fontId="15" fillId="0" borderId="15" xfId="0" applyNumberFormat="1" applyFont="1" applyBorder="1" applyAlignment="1">
      <alignment horizontal="center" wrapText="1"/>
    </xf>
    <xf numFmtId="0" fontId="1" fillId="0" borderId="15" xfId="0" applyNumberFormat="1" applyFont="1" applyBorder="1" applyAlignment="1">
      <alignment horizontal="left" wrapText="1"/>
    </xf>
    <xf numFmtId="0" fontId="1" fillId="0" borderId="15" xfId="0" applyNumberFormat="1" applyFont="1" applyBorder="1" applyAlignment="1">
      <alignment wrapText="1"/>
    </xf>
    <xf numFmtId="164" fontId="2" fillId="0" borderId="14" xfId="1" applyNumberFormat="1" applyFont="1" applyBorder="1" applyAlignment="1">
      <alignment horizontal="right" wrapText="1"/>
    </xf>
    <xf numFmtId="164" fontId="15" fillId="0" borderId="13" xfId="0" applyNumberFormat="1" applyFont="1" applyBorder="1" applyAlignment="1">
      <alignment horizontal="right" wrapText="1"/>
    </xf>
    <xf numFmtId="164" fontId="1" fillId="0" borderId="15" xfId="0" applyNumberFormat="1" applyFont="1" applyBorder="1" applyAlignment="1">
      <alignment horizontal="right" wrapText="1"/>
    </xf>
    <xf numFmtId="164" fontId="2" fillId="0" borderId="14" xfId="0" applyNumberFormat="1" applyFont="1" applyBorder="1" applyAlignment="1">
      <alignment horizontal="right" wrapText="1"/>
    </xf>
    <xf numFmtId="0" fontId="1" fillId="2" borderId="1" xfId="0" applyNumberFormat="1" applyFont="1" applyFill="1" applyBorder="1" applyAlignment="1">
      <alignment horizontal="center" wrapText="1"/>
    </xf>
    <xf numFmtId="165" fontId="2" fillId="2" borderId="1" xfId="0" applyNumberFormat="1" applyFont="1" applyFill="1" applyBorder="1" applyAlignment="1">
      <alignment horizontal="right" wrapText="1"/>
    </xf>
    <xf numFmtId="168" fontId="1" fillId="0" borderId="0" xfId="0" applyNumberFormat="1" applyFont="1"/>
    <xf numFmtId="1" fontId="1" fillId="0" borderId="0" xfId="0" applyNumberFormat="1" applyFont="1"/>
    <xf numFmtId="0" fontId="1" fillId="2" borderId="1" xfId="0" applyFont="1" applyFill="1" applyBorder="1" applyAlignment="1">
      <alignment horizontal="center"/>
    </xf>
    <xf numFmtId="165" fontId="2" fillId="2" borderId="1" xfId="0" applyNumberFormat="1" applyFont="1" applyFill="1" applyBorder="1" applyAlignment="1">
      <alignment horizontal="right"/>
    </xf>
    <xf numFmtId="165" fontId="2" fillId="2" borderId="1" xfId="1" applyNumberFormat="1" applyFont="1" applyFill="1" applyBorder="1" applyAlignment="1">
      <alignment horizontal="right"/>
    </xf>
    <xf numFmtId="0" fontId="2" fillId="3" borderId="1" xfId="0" applyFont="1" applyFill="1" applyBorder="1" applyAlignment="1">
      <alignment horizontal="center"/>
    </xf>
    <xf numFmtId="0" fontId="1" fillId="3" borderId="1" xfId="0" applyFont="1" applyFill="1" applyBorder="1" applyAlignment="1">
      <alignment horizontal="center"/>
    </xf>
    <xf numFmtId="165" fontId="2" fillId="3" borderId="1" xfId="1" applyNumberFormat="1" applyFont="1" applyFill="1" applyBorder="1" applyAlignment="1">
      <alignment horizontal="right"/>
    </xf>
    <xf numFmtId="0" fontId="1" fillId="0" borderId="1" xfId="0" applyFont="1" applyFill="1" applyBorder="1" applyAlignment="1">
      <alignment horizontal="center"/>
    </xf>
    <xf numFmtId="165" fontId="2" fillId="0" borderId="1" xfId="1" applyNumberFormat="1" applyFont="1" applyFill="1" applyBorder="1" applyAlignment="1">
      <alignment horizontal="right"/>
    </xf>
    <xf numFmtId="164" fontId="1" fillId="0" borderId="0" xfId="1" applyNumberFormat="1" applyFont="1" applyAlignment="1">
      <alignment horizontal="center"/>
    </xf>
    <xf numFmtId="164" fontId="2" fillId="0" borderId="0" xfId="1" applyNumberFormat="1" applyFont="1" applyAlignment="1">
      <alignment horizontal="center"/>
    </xf>
    <xf numFmtId="164" fontId="4" fillId="0" borderId="1" xfId="1" applyNumberFormat="1" applyFont="1" applyBorder="1" applyAlignment="1">
      <alignment horizontal="center" vertical="center"/>
    </xf>
    <xf numFmtId="164" fontId="4"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xf numFmtId="0" fontId="1" fillId="0" borderId="0" xfId="0" applyFont="1" applyAlignment="1">
      <alignment horizontal="left"/>
    </xf>
    <xf numFmtId="0" fontId="2" fillId="0" borderId="1" xfId="0" applyFont="1" applyBorder="1" applyAlignment="1">
      <alignment horizontal="center"/>
    </xf>
    <xf numFmtId="0" fontId="1" fillId="0" borderId="0" xfId="0" applyFont="1" applyAlignment="1">
      <alignment horizontal="center"/>
    </xf>
    <xf numFmtId="0" fontId="2" fillId="0" borderId="0" xfId="0" applyFont="1" applyAlignment="1">
      <alignment horizontal="left"/>
    </xf>
    <xf numFmtId="0" fontId="2" fillId="0" borderId="2" xfId="0" applyFont="1" applyBorder="1" applyAlignment="1">
      <alignment horizontal="center"/>
    </xf>
    <xf numFmtId="164" fontId="4" fillId="0" borderId="1" xfId="1" applyNumberFormat="1" applyFont="1" applyBorder="1" applyAlignment="1">
      <alignment horizontal="center"/>
    </xf>
    <xf numFmtId="0" fontId="1" fillId="0" borderId="1" xfId="0" applyFont="1" applyBorder="1" applyAlignment="1">
      <alignment horizontal="left"/>
    </xf>
    <xf numFmtId="0" fontId="1" fillId="0" borderId="0" xfId="0" applyFont="1" applyAlignment="1">
      <alignment horizontal="left" wrapText="1"/>
    </xf>
    <xf numFmtId="0" fontId="1" fillId="0" borderId="0" xfId="0" applyFont="1" applyAlignment="1">
      <alignment wrapText="1"/>
    </xf>
    <xf numFmtId="0" fontId="1" fillId="0" borderId="0" xfId="0" applyFont="1" applyAlignment="1"/>
    <xf numFmtId="0" fontId="2" fillId="0" borderId="1" xfId="0" applyFont="1" applyBorder="1" applyAlignment="1">
      <alignment horizontal="center" vertical="center"/>
    </xf>
    <xf numFmtId="0" fontId="1" fillId="0" borderId="1" xfId="0" applyFont="1" applyBorder="1" applyAlignment="1">
      <alignment horizontal="left" wrapText="1"/>
    </xf>
    <xf numFmtId="0" fontId="1" fillId="0" borderId="0" xfId="0" applyNumberFormat="1" applyFont="1" applyAlignment="1">
      <alignment horizontal="left" wrapText="1"/>
    </xf>
    <xf numFmtId="0" fontId="1" fillId="0" borderId="0" xfId="0" applyFont="1" applyBorder="1" applyAlignment="1">
      <alignment horizontal="left"/>
    </xf>
    <xf numFmtId="0" fontId="1" fillId="0" borderId="15" xfId="0" applyNumberFormat="1" applyFont="1" applyBorder="1" applyAlignment="1">
      <alignment horizontal="left" wrapText="1"/>
    </xf>
    <xf numFmtId="0" fontId="1" fillId="0" borderId="1" xfId="0" applyNumberFormat="1" applyFont="1" applyBorder="1" applyAlignment="1">
      <alignment horizontal="left" wrapText="1"/>
    </xf>
    <xf numFmtId="0" fontId="2" fillId="0" borderId="1" xfId="0" applyNumberFormat="1" applyFont="1" applyBorder="1" applyAlignment="1">
      <alignment horizontal="center" wrapText="1"/>
    </xf>
    <xf numFmtId="0" fontId="14" fillId="0" borderId="1" xfId="0" applyFont="1" applyFill="1" applyBorder="1" applyAlignment="1">
      <alignment horizontal="left" vertical="top" wrapText="1"/>
    </xf>
    <xf numFmtId="169" fontId="14" fillId="0" borderId="1" xfId="0" applyNumberFormat="1" applyFont="1" applyFill="1" applyBorder="1" applyAlignment="1">
      <alignment horizontal="right" vertical="top" wrapText="1"/>
    </xf>
    <xf numFmtId="49" fontId="14" fillId="0" borderId="1" xfId="0" applyNumberFormat="1" applyFont="1" applyFill="1" applyBorder="1" applyAlignment="1">
      <alignment horizontal="center" vertical="top" wrapText="1"/>
    </xf>
    <xf numFmtId="164" fontId="4" fillId="0" borderId="2" xfId="1" applyNumberFormat="1" applyFont="1" applyBorder="1" applyAlignment="1"/>
    <xf numFmtId="165" fontId="4" fillId="0" borderId="2" xfId="1" applyNumberFormat="1" applyFont="1" applyBorder="1" applyAlignment="1">
      <alignment horizontal="right"/>
    </xf>
    <xf numFmtId="164" fontId="2" fillId="0" borderId="2" xfId="1" applyNumberFormat="1" applyFont="1" applyBorder="1" applyAlignment="1"/>
    <xf numFmtId="165" fontId="15" fillId="0" borderId="1" xfId="1" applyNumberFormat="1" applyFont="1" applyBorder="1" applyAlignment="1">
      <alignment horizontal="right"/>
    </xf>
    <xf numFmtId="165" fontId="4" fillId="0" borderId="1" xfId="1" applyNumberFormat="1" applyFont="1" applyBorder="1" applyAlignment="1">
      <alignment horizontal="right" vertical="center"/>
    </xf>
    <xf numFmtId="9" fontId="4" fillId="0" borderId="1" xfId="2" applyFont="1" applyBorder="1" applyAlignment="1">
      <alignment horizontal="center" vertical="center"/>
    </xf>
    <xf numFmtId="165" fontId="4" fillId="0" borderId="1" xfId="2" applyNumberFormat="1" applyFont="1" applyBorder="1" applyAlignment="1">
      <alignment vertical="center"/>
    </xf>
    <xf numFmtId="164" fontId="1" fillId="0" borderId="2" xfId="1" applyNumberFormat="1" applyFont="1" applyBorder="1" applyAlignment="1"/>
    <xf numFmtId="164" fontId="1" fillId="0" borderId="3" xfId="1" applyNumberFormat="1" applyFont="1" applyBorder="1" applyAlignment="1"/>
    <xf numFmtId="165" fontId="15" fillId="0" borderId="1" xfId="1" applyNumberFormat="1" applyFont="1" applyBorder="1" applyAlignment="1">
      <alignment horizontal="right" vertical="center"/>
    </xf>
    <xf numFmtId="0" fontId="1" fillId="0" borderId="1" xfId="0" applyFont="1" applyBorder="1" applyAlignment="1">
      <alignment horizontal="left" vertical="center" wrapText="1"/>
    </xf>
    <xf numFmtId="0" fontId="1" fillId="0" borderId="0" xfId="0" applyFont="1" applyAlignment="1">
      <alignment vertical="center"/>
    </xf>
    <xf numFmtId="165" fontId="4" fillId="0" borderId="1" xfId="1" applyNumberFormat="1" applyFont="1" applyBorder="1" applyAlignment="1">
      <alignment horizontal="center"/>
    </xf>
    <xf numFmtId="9" fontId="4" fillId="0" borderId="1" xfId="2" applyNumberFormat="1" applyFont="1" applyBorder="1" applyAlignment="1">
      <alignment horizontal="center"/>
    </xf>
    <xf numFmtId="0" fontId="14" fillId="0" borderId="1" xfId="0" applyFont="1" applyFill="1" applyBorder="1" applyAlignment="1">
      <alignment horizontal="left" vertical="center" wrapText="1"/>
    </xf>
    <xf numFmtId="164" fontId="1" fillId="0" borderId="0" xfId="1" applyNumberFormat="1" applyFont="1" applyAlignment="1">
      <alignment vertical="center"/>
    </xf>
    <xf numFmtId="3" fontId="4" fillId="0" borderId="1" xfId="1" applyNumberFormat="1" applyFont="1" applyBorder="1" applyAlignment="1">
      <alignment horizontal="right" vertical="center"/>
    </xf>
    <xf numFmtId="3" fontId="4" fillId="0" borderId="1" xfId="0" applyNumberFormat="1" applyFont="1" applyBorder="1" applyAlignment="1">
      <alignment horizontal="right" vertical="center"/>
    </xf>
    <xf numFmtId="0" fontId="1" fillId="0" borderId="0" xfId="0" applyFont="1" applyBorder="1"/>
    <xf numFmtId="49" fontId="14" fillId="0" borderId="1" xfId="0" applyNumberFormat="1" applyFont="1" applyBorder="1" applyAlignment="1">
      <alignment horizontal="center" vertical="top" wrapText="1"/>
    </xf>
    <xf numFmtId="0" fontId="14" fillId="0" borderId="1" xfId="0" applyFont="1" applyBorder="1" applyAlignment="1">
      <alignment horizontal="left" vertical="top" wrapText="1"/>
    </xf>
    <xf numFmtId="3" fontId="14" fillId="0" borderId="1" xfId="0" applyNumberFormat="1" applyFont="1" applyBorder="1" applyAlignment="1">
      <alignment horizontal="right" vertical="top" wrapText="1"/>
    </xf>
    <xf numFmtId="0" fontId="14" fillId="3" borderId="1" xfId="0" applyFont="1" applyFill="1" applyBorder="1" applyAlignment="1">
      <alignment horizontal="left" vertical="top" wrapText="1"/>
    </xf>
    <xf numFmtId="164" fontId="1" fillId="3" borderId="0" xfId="1" applyNumberFormat="1" applyFont="1" applyFill="1"/>
    <xf numFmtId="164" fontId="4" fillId="0" borderId="1" xfId="1" applyNumberFormat="1" applyFont="1" applyBorder="1" applyAlignment="1"/>
    <xf numFmtId="164" fontId="2" fillId="0" borderId="1" xfId="1" applyNumberFormat="1" applyFont="1" applyBorder="1" applyAlignment="1"/>
    <xf numFmtId="165" fontId="4" fillId="0" borderId="1" xfId="1" applyNumberFormat="1" applyFont="1" applyBorder="1" applyAlignment="1"/>
    <xf numFmtId="165" fontId="2" fillId="0" borderId="1" xfId="1" applyNumberFormat="1" applyFont="1" applyBorder="1" applyAlignment="1"/>
    <xf numFmtId="164" fontId="16" fillId="0" borderId="1" xfId="1" applyNumberFormat="1" applyFont="1" applyBorder="1" applyAlignment="1">
      <alignment horizontal="center" vertical="center"/>
    </xf>
    <xf numFmtId="164" fontId="16" fillId="0" borderId="1" xfId="0" applyNumberFormat="1" applyFont="1" applyBorder="1" applyAlignment="1">
      <alignment horizontal="center" vertical="center"/>
    </xf>
    <xf numFmtId="0" fontId="17"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3" fontId="17" fillId="0" borderId="1" xfId="0" applyNumberFormat="1" applyFont="1" applyFill="1" applyBorder="1" applyAlignment="1">
      <alignment horizontal="right" vertical="top" wrapText="1"/>
    </xf>
    <xf numFmtId="3" fontId="18" fillId="0" borderId="1" xfId="0" applyNumberFormat="1" applyFont="1" applyFill="1" applyBorder="1" applyAlignment="1">
      <alignment horizontal="right" vertical="top" wrapText="1"/>
    </xf>
    <xf numFmtId="0" fontId="2" fillId="0" borderId="1" xfId="0" applyFont="1" applyFill="1" applyBorder="1" applyAlignment="1">
      <alignment horizontal="center" vertical="center" wrapText="1"/>
    </xf>
    <xf numFmtId="0" fontId="1" fillId="0" borderId="0" xfId="0" applyFont="1" applyFill="1"/>
    <xf numFmtId="0" fontId="2" fillId="0" borderId="1" xfId="0" applyFont="1" applyFill="1" applyBorder="1" applyAlignment="1">
      <alignment horizontal="center" vertical="center"/>
    </xf>
    <xf numFmtId="0" fontId="1" fillId="0" borderId="0" xfId="0" applyFont="1" applyFill="1" applyAlignment="1">
      <alignment vertical="center"/>
    </xf>
    <xf numFmtId="0" fontId="19" fillId="0" borderId="1" xfId="0" applyFont="1" applyFill="1" applyBorder="1" applyAlignment="1">
      <alignment horizontal="left" vertical="center" wrapText="1"/>
    </xf>
    <xf numFmtId="3" fontId="14" fillId="0" borderId="1" xfId="0" applyNumberFormat="1" applyFont="1" applyFill="1" applyBorder="1" applyAlignment="1">
      <alignment horizontal="right" vertical="center" wrapText="1"/>
    </xf>
    <xf numFmtId="9" fontId="4" fillId="0" borderId="1" xfId="2" applyNumberFormat="1" applyFont="1" applyBorder="1" applyAlignment="1">
      <alignment horizontal="center" vertical="center"/>
    </xf>
    <xf numFmtId="10" fontId="4" fillId="0" borderId="1" xfId="2" applyNumberFormat="1" applyFont="1" applyBorder="1" applyAlignment="1">
      <alignment horizontal="center" vertical="center"/>
    </xf>
    <xf numFmtId="0" fontId="20" fillId="0" borderId="13" xfId="0" applyFont="1" applyBorder="1" applyAlignment="1">
      <alignment horizontal="left" vertical="top" wrapText="1"/>
    </xf>
    <xf numFmtId="164" fontId="1" fillId="0" borderId="13" xfId="1" applyNumberFormat="1" applyFont="1" applyBorder="1"/>
    <xf numFmtId="0" fontId="14" fillId="0" borderId="15" xfId="0" applyFont="1" applyBorder="1" applyAlignment="1">
      <alignment horizontal="left" vertical="top" wrapText="1"/>
    </xf>
    <xf numFmtId="164" fontId="1" fillId="0" borderId="15" xfId="1" applyNumberFormat="1" applyFont="1" applyBorder="1"/>
    <xf numFmtId="0" fontId="17" fillId="0" borderId="14" xfId="0" applyFont="1" applyBorder="1" applyAlignment="1">
      <alignment horizontal="left" vertical="top" wrapText="1"/>
    </xf>
    <xf numFmtId="164" fontId="1" fillId="0" borderId="14" xfId="1" applyNumberFormat="1" applyFont="1" applyBorder="1"/>
    <xf numFmtId="0" fontId="1" fillId="0" borderId="0" xfId="0" applyFont="1" applyAlignment="1">
      <alignment horizontal="left"/>
    </xf>
    <xf numFmtId="0" fontId="2" fillId="0" borderId="1"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xf>
    <xf numFmtId="0" fontId="2" fillId="0" borderId="1" xfId="0" applyFont="1" applyBorder="1" applyAlignment="1">
      <alignment horizontal="left"/>
    </xf>
    <xf numFmtId="0" fontId="1" fillId="0" borderId="0" xfId="0" applyFont="1" applyAlignment="1">
      <alignment wrapText="1"/>
    </xf>
    <xf numFmtId="0" fontId="1" fillId="0" borderId="0" xfId="0" applyFont="1" applyAlignment="1"/>
    <xf numFmtId="0" fontId="1" fillId="0" borderId="0" xfId="0" applyNumberFormat="1" applyFont="1" applyAlignment="1">
      <alignment horizontal="left" wrapText="1"/>
    </xf>
    <xf numFmtId="0" fontId="1" fillId="0" borderId="15" xfId="0" applyNumberFormat="1" applyFont="1" applyBorder="1" applyAlignment="1">
      <alignment horizontal="left" wrapText="1"/>
    </xf>
    <xf numFmtId="165" fontId="1" fillId="0" borderId="0" xfId="1" applyNumberFormat="1" applyFont="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166" fontId="1" fillId="0" borderId="1" xfId="2" applyNumberFormat="1" applyFont="1" applyBorder="1"/>
    <xf numFmtId="9" fontId="4" fillId="0" borderId="1" xfId="1" applyNumberFormat="1" applyFont="1" applyBorder="1" applyAlignment="1">
      <alignment horizontal="center"/>
    </xf>
    <xf numFmtId="166" fontId="1" fillId="0" borderId="0" xfId="0" applyNumberFormat="1" applyFont="1" applyAlignment="1">
      <alignment wrapText="1"/>
    </xf>
    <xf numFmtId="166" fontId="4" fillId="0" borderId="1" xfId="1" applyNumberFormat="1" applyFont="1" applyBorder="1" applyAlignment="1">
      <alignment horizontal="center"/>
    </xf>
    <xf numFmtId="9" fontId="1" fillId="0" borderId="1" xfId="2" applyNumberFormat="1" applyFont="1" applyBorder="1" applyAlignment="1">
      <alignment horizontal="center"/>
    </xf>
    <xf numFmtId="164" fontId="1" fillId="0" borderId="0" xfId="0" applyNumberFormat="1" applyFont="1" applyBorder="1" applyAlignment="1">
      <alignment horizontal="center"/>
    </xf>
    <xf numFmtId="164" fontId="1" fillId="0" borderId="0" xfId="1" applyNumberFormat="1" applyFont="1" applyBorder="1"/>
    <xf numFmtId="0" fontId="1" fillId="0" borderId="0" xfId="0" applyFont="1" applyAlignment="1">
      <alignment horizontal="left"/>
    </xf>
    <xf numFmtId="0" fontId="13" fillId="0" borderId="1" xfId="0" applyFont="1" applyBorder="1" applyAlignment="1">
      <alignment horizontal="left" vertical="center"/>
    </xf>
    <xf numFmtId="0" fontId="1" fillId="0" borderId="1" xfId="0" applyFont="1" applyBorder="1" applyAlignment="1">
      <alignment horizontal="left" vertical="center"/>
    </xf>
    <xf numFmtId="0" fontId="2" fillId="3" borderId="1" xfId="0" applyFont="1" applyFill="1" applyBorder="1" applyAlignment="1">
      <alignment horizontal="center"/>
    </xf>
    <xf numFmtId="0" fontId="2" fillId="0" borderId="1" xfId="0" applyFont="1" applyBorder="1" applyAlignment="1">
      <alignment horizontal="left" vertical="center"/>
    </xf>
    <xf numFmtId="0" fontId="1" fillId="0" borderId="0" xfId="0" applyFont="1" applyAlignment="1">
      <alignment horizontal="center"/>
    </xf>
    <xf numFmtId="0" fontId="2" fillId="0" borderId="0" xfId="0" applyFont="1" applyAlignment="1">
      <alignment horizontal="left"/>
    </xf>
    <xf numFmtId="164" fontId="1" fillId="0" borderId="1" xfId="1" applyNumberFormat="1" applyFont="1" applyBorder="1" applyAlignment="1">
      <alignment horizontal="center"/>
    </xf>
    <xf numFmtId="0" fontId="2" fillId="0" borderId="1" xfId="0" applyFont="1" applyBorder="1" applyAlignment="1">
      <alignment horizontal="center"/>
    </xf>
    <xf numFmtId="0" fontId="1" fillId="0" borderId="1" xfId="0" applyFont="1" applyBorder="1" applyAlignment="1">
      <alignment horizontal="left"/>
    </xf>
    <xf numFmtId="0" fontId="1" fillId="0" borderId="0" xfId="0" applyFont="1" applyAlignment="1">
      <alignment horizontal="left" wrapText="1"/>
    </xf>
    <xf numFmtId="0" fontId="2" fillId="0" borderId="1" xfId="0" applyFont="1" applyBorder="1" applyAlignment="1">
      <alignment horizontal="center" vertical="center"/>
    </xf>
    <xf numFmtId="0" fontId="4" fillId="0" borderId="1" xfId="0" applyFont="1" applyBorder="1" applyAlignment="1">
      <alignment horizontal="left"/>
    </xf>
    <xf numFmtId="0" fontId="4" fillId="0" borderId="0" xfId="0" applyFont="1" applyAlignment="1">
      <alignment horizontal="left"/>
    </xf>
    <xf numFmtId="0" fontId="2" fillId="0" borderId="0" xfId="0" applyFont="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0" fontId="10" fillId="0" borderId="0" xfId="0" applyFont="1" applyAlignment="1">
      <alignment horizontal="center"/>
    </xf>
    <xf numFmtId="0" fontId="2" fillId="0" borderId="1" xfId="0" applyFont="1" applyBorder="1" applyAlignment="1">
      <alignment horizontal="left"/>
    </xf>
    <xf numFmtId="0" fontId="1" fillId="0" borderId="0" xfId="0" applyFont="1" applyAlignment="1">
      <alignment wrapText="1"/>
    </xf>
    <xf numFmtId="0" fontId="1" fillId="0" borderId="0" xfId="0" applyFont="1" applyAlignment="1"/>
    <xf numFmtId="0" fontId="2" fillId="0" borderId="1" xfId="0" applyFont="1" applyBorder="1" applyAlignment="1">
      <alignment horizontal="center" vertical="center" wrapText="1"/>
    </xf>
    <xf numFmtId="0" fontId="1" fillId="0" borderId="0" xfId="0" applyFont="1" applyBorder="1" applyAlignment="1">
      <alignment horizontal="left"/>
    </xf>
    <xf numFmtId="0" fontId="2" fillId="0" borderId="0" xfId="0" applyFont="1" applyBorder="1" applyAlignment="1">
      <alignment horizontal="center"/>
    </xf>
    <xf numFmtId="0" fontId="1" fillId="0" borderId="2" xfId="0" applyFont="1" applyBorder="1" applyAlignment="1">
      <alignment horizontal="left"/>
    </xf>
    <xf numFmtId="0" fontId="1" fillId="0" borderId="3" xfId="0" applyFont="1" applyBorder="1" applyAlignment="1">
      <alignment horizontal="left"/>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0" borderId="1" xfId="0" applyFont="1" applyFill="1" applyBorder="1" applyAlignment="1">
      <alignment horizontal="center"/>
    </xf>
    <xf numFmtId="0" fontId="1" fillId="0" borderId="12" xfId="0" applyFont="1"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 fillId="0" borderId="0" xfId="0" applyFont="1" applyBorder="1" applyAlignment="1">
      <alignment horizontal="left" wrapText="1"/>
    </xf>
    <xf numFmtId="0" fontId="1" fillId="0" borderId="0" xfId="0" applyNumberFormat="1" applyFont="1" applyAlignment="1">
      <alignment horizontal="left"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8" fillId="0" borderId="1" xfId="0" applyFont="1" applyBorder="1" applyAlignment="1">
      <alignment horizontal="left"/>
    </xf>
    <xf numFmtId="0" fontId="4" fillId="0" borderId="15" xfId="0" applyNumberFormat="1" applyFont="1" applyBorder="1" applyAlignment="1">
      <alignment horizontal="right" wrapText="1"/>
    </xf>
    <xf numFmtId="0" fontId="2" fillId="0" borderId="14" xfId="0" applyNumberFormat="1" applyFont="1" applyBorder="1" applyAlignment="1">
      <alignment horizontal="center" wrapText="1"/>
    </xf>
    <xf numFmtId="0" fontId="2" fillId="2" borderId="1" xfId="0" applyNumberFormat="1" applyFont="1" applyFill="1" applyBorder="1" applyAlignment="1">
      <alignment horizontal="left" wrapText="1"/>
    </xf>
    <xf numFmtId="0" fontId="15" fillId="0" borderId="18" xfId="0" applyNumberFormat="1" applyFont="1" applyBorder="1" applyAlignment="1">
      <alignment horizontal="left" wrapText="1"/>
    </xf>
    <xf numFmtId="0" fontId="15" fillId="0" borderId="19"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3" xfId="0" applyNumberFormat="1" applyFont="1" applyBorder="1" applyAlignment="1">
      <alignment horizontal="left" wrapText="1"/>
    </xf>
    <xf numFmtId="0" fontId="1" fillId="0" borderId="15" xfId="0" applyNumberFormat="1" applyFont="1" applyBorder="1" applyAlignment="1">
      <alignment horizontal="left" wrapText="1"/>
    </xf>
    <xf numFmtId="0" fontId="2" fillId="0" borderId="1" xfId="0" applyNumberFormat="1" applyFont="1" applyBorder="1" applyAlignment="1">
      <alignment horizontal="center" vertical="center" wrapText="1"/>
    </xf>
    <xf numFmtId="0" fontId="15" fillId="0" borderId="16" xfId="0" applyNumberFormat="1" applyFont="1" applyBorder="1" applyAlignment="1">
      <alignment horizontal="left" wrapText="1"/>
    </xf>
    <xf numFmtId="0" fontId="15" fillId="0" borderId="17" xfId="0" applyNumberFormat="1" applyFont="1" applyBorder="1" applyAlignment="1">
      <alignment horizontal="left" wrapText="1"/>
    </xf>
    <xf numFmtId="0" fontId="2" fillId="2" borderId="1" xfId="0" applyFont="1" applyFill="1" applyBorder="1" applyAlignment="1">
      <alignment horizontal="center"/>
    </xf>
    <xf numFmtId="0" fontId="1" fillId="0" borderId="1"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1" xfId="0" applyNumberFormat="1" applyFont="1" applyBorder="1" applyAlignment="1">
      <alignment horizontal="center" wrapText="1"/>
    </xf>
    <xf numFmtId="0" fontId="4" fillId="0" borderId="2" xfId="0" applyFont="1" applyBorder="1" applyAlignment="1">
      <alignment horizontal="right"/>
    </xf>
    <xf numFmtId="0" fontId="4" fillId="0" borderId="3" xfId="0" applyFont="1" applyBorder="1" applyAlignment="1">
      <alignment horizontal="right"/>
    </xf>
    <xf numFmtId="164" fontId="12" fillId="0" borderId="1" xfId="1" applyNumberFormat="1" applyFont="1" applyBorder="1"/>
    <xf numFmtId="164" fontId="12" fillId="0" borderId="1" xfId="1" applyNumberFormat="1" applyFont="1" applyBorder="1" applyAlignment="1">
      <alignment horizontal="right"/>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165" fontId="1" fillId="0" borderId="0" xfId="0" applyNumberFormat="1" applyFont="1"/>
    <xf numFmtId="0" fontId="2" fillId="0" borderId="4" xfId="0" applyFont="1" applyBorder="1" applyAlignment="1">
      <alignment horizontal="center" vertical="center"/>
    </xf>
    <xf numFmtId="0" fontId="2" fillId="0" borderId="0" xfId="0" applyFont="1" applyBorder="1" applyAlignment="1">
      <alignment horizontal="center" vertical="center"/>
    </xf>
    <xf numFmtId="166" fontId="4" fillId="0" borderId="1" xfId="2" applyNumberFormat="1" applyFont="1" applyBorder="1" applyAlignment="1">
      <alignment horizontal="right"/>
    </xf>
    <xf numFmtId="164" fontId="2" fillId="0" borderId="1" xfId="1" applyNumberFormat="1" applyFont="1" applyBorder="1" applyAlignment="1">
      <alignment horizontal="center" vertical="center" wrapText="1"/>
    </xf>
    <xf numFmtId="9" fontId="1" fillId="0" borderId="1" xfId="2" applyFont="1" applyBorder="1" applyAlignment="1">
      <alignment horizontal="center" vertical="center" wrapText="1"/>
    </xf>
    <xf numFmtId="0" fontId="21" fillId="0" borderId="0" xfId="0" applyNumberFormat="1" applyFont="1" applyAlignment="1">
      <alignment horizontal="left" wrapText="1"/>
    </xf>
    <xf numFmtId="165" fontId="4" fillId="0" borderId="2" xfId="1" applyNumberFormat="1" applyFont="1" applyBorder="1" applyAlignment="1">
      <alignment horizontal="right" vertical="center"/>
    </xf>
    <xf numFmtId="0" fontId="14" fillId="0" borderId="15" xfId="0" applyFont="1" applyBorder="1" applyAlignment="1">
      <alignment horizontal="left" vertical="center" wrapText="1"/>
    </xf>
    <xf numFmtId="164" fontId="1" fillId="0" borderId="15" xfId="1" applyNumberFormat="1" applyFont="1" applyBorder="1" applyAlignment="1">
      <alignment vertical="center"/>
    </xf>
    <xf numFmtId="166" fontId="1" fillId="0" borderId="0" xfId="2" applyNumberFormat="1"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N334"/>
  <sheetViews>
    <sheetView tabSelected="1" zoomScale="115" zoomScaleNormal="115" zoomScaleSheetLayoutView="115" zoomScalePageLayoutView="115" workbookViewId="0">
      <selection activeCell="J11" sqref="J11"/>
    </sheetView>
  </sheetViews>
  <sheetFormatPr defaultRowHeight="16.5"/>
  <cols>
    <col min="1" max="1" width="4.125" style="2" customWidth="1"/>
    <col min="2" max="2" width="27" style="2" customWidth="1"/>
    <col min="3" max="3" width="10.625" style="2" customWidth="1"/>
    <col min="4" max="4" width="12.375" style="2" customWidth="1"/>
    <col min="5" max="6" width="11.625" style="1" customWidth="1"/>
    <col min="7" max="7" width="11.625" style="4" customWidth="1"/>
    <col min="8" max="8" width="11.625" style="11" customWidth="1"/>
    <col min="9" max="9" width="11.375" style="1" customWidth="1"/>
    <col min="10" max="10" width="9" style="1"/>
    <col min="11" max="11" width="12.125" style="1" customWidth="1"/>
    <col min="12" max="12" width="9" style="1"/>
    <col min="13" max="13" width="10.5" style="1" customWidth="1"/>
    <col min="14" max="14" width="11.875" style="1" customWidth="1"/>
    <col min="15" max="16384" width="9" style="1"/>
  </cols>
  <sheetData>
    <row r="1" spans="1:9" ht="18.75">
      <c r="A1" s="325" t="s">
        <v>353</v>
      </c>
      <c r="B1" s="325"/>
      <c r="C1" s="325"/>
      <c r="D1" s="325"/>
      <c r="E1" s="325"/>
      <c r="F1" s="325"/>
      <c r="G1" s="325"/>
      <c r="H1" s="325"/>
    </row>
    <row r="2" spans="1:9">
      <c r="A2" s="314" t="s">
        <v>30</v>
      </c>
      <c r="B2" s="314"/>
      <c r="C2" s="314"/>
      <c r="D2" s="314"/>
      <c r="E2" s="314"/>
      <c r="F2" s="314"/>
      <c r="G2" s="314"/>
      <c r="H2" s="314"/>
    </row>
    <row r="3" spans="1:9" ht="33.75" customHeight="1">
      <c r="A3" s="318" t="s">
        <v>132</v>
      </c>
      <c r="B3" s="318"/>
      <c r="C3" s="318"/>
      <c r="D3" s="318"/>
      <c r="E3" s="318"/>
      <c r="F3" s="318"/>
      <c r="G3" s="318"/>
      <c r="H3" s="318"/>
    </row>
    <row r="4" spans="1:9" ht="17.100000000000001" customHeight="1">
      <c r="A4" s="318" t="s">
        <v>483</v>
      </c>
      <c r="B4" s="318"/>
      <c r="C4" s="318"/>
      <c r="D4" s="75">
        <v>15</v>
      </c>
      <c r="E4" s="228" t="s">
        <v>118</v>
      </c>
      <c r="F4" s="227"/>
      <c r="G4" s="227"/>
      <c r="H4" s="227"/>
    </row>
    <row r="5" spans="1:9">
      <c r="A5" s="314" t="s">
        <v>31</v>
      </c>
      <c r="B5" s="314"/>
      <c r="C5" s="314"/>
      <c r="D5" s="314"/>
      <c r="E5" s="314"/>
      <c r="F5" s="314"/>
      <c r="G5" s="314"/>
      <c r="H5" s="314"/>
    </row>
    <row r="6" spans="1:9">
      <c r="A6" s="314" t="s">
        <v>32</v>
      </c>
      <c r="B6" s="314"/>
      <c r="C6" s="314"/>
      <c r="D6" s="314"/>
      <c r="E6" s="314"/>
      <c r="F6" s="314"/>
      <c r="G6" s="314"/>
      <c r="H6" s="314"/>
    </row>
    <row r="7" spans="1:9" ht="34.5" customHeight="1">
      <c r="A7" s="318" t="s">
        <v>130</v>
      </c>
      <c r="B7" s="318"/>
      <c r="C7" s="318"/>
      <c r="D7" s="318"/>
      <c r="E7" s="318"/>
      <c r="F7" s="318"/>
      <c r="G7" s="318"/>
      <c r="H7" s="318"/>
    </row>
    <row r="8" spans="1:9" ht="49.5" customHeight="1">
      <c r="A8" s="327" t="s">
        <v>23</v>
      </c>
      <c r="B8" s="327"/>
      <c r="C8" s="327"/>
      <c r="D8" s="327"/>
      <c r="E8" s="328"/>
      <c r="F8" s="328"/>
      <c r="G8" s="328"/>
      <c r="H8" s="328"/>
    </row>
    <row r="9" spans="1:9" ht="16.5" customHeight="1">
      <c r="A9" s="318" t="s">
        <v>48</v>
      </c>
      <c r="B9" s="318"/>
      <c r="C9" s="318"/>
      <c r="D9" s="135">
        <v>0.55000000000000004</v>
      </c>
      <c r="E9" s="25"/>
      <c r="F9" s="8"/>
      <c r="G9" s="8"/>
      <c r="H9" s="8"/>
    </row>
    <row r="10" spans="1:9" ht="33" customHeight="1">
      <c r="A10" s="318" t="s">
        <v>505</v>
      </c>
      <c r="B10" s="318"/>
      <c r="C10" s="318"/>
      <c r="D10" s="135">
        <v>0.05</v>
      </c>
      <c r="E10" s="25" t="s">
        <v>47</v>
      </c>
      <c r="F10" s="8"/>
      <c r="G10" s="8"/>
      <c r="H10" s="8"/>
    </row>
    <row r="11" spans="1:9" ht="33" customHeight="1">
      <c r="A11" s="318" t="s">
        <v>46</v>
      </c>
      <c r="B11" s="318"/>
      <c r="C11" s="318"/>
      <c r="D11" s="135">
        <v>0.03</v>
      </c>
      <c r="E11" s="293" t="s">
        <v>47</v>
      </c>
      <c r="F11" s="294"/>
      <c r="G11" s="294"/>
      <c r="H11" s="294"/>
    </row>
    <row r="12" spans="1:9" ht="33.75" customHeight="1">
      <c r="A12" s="318" t="s">
        <v>506</v>
      </c>
      <c r="B12" s="318"/>
      <c r="C12" s="318"/>
      <c r="D12" s="135">
        <v>0.03</v>
      </c>
      <c r="E12" s="293" t="s">
        <v>47</v>
      </c>
      <c r="F12" s="294"/>
      <c r="G12" s="294"/>
      <c r="H12" s="294"/>
    </row>
    <row r="13" spans="1:9" ht="35.25" customHeight="1">
      <c r="A13" s="318" t="s">
        <v>509</v>
      </c>
      <c r="B13" s="318"/>
      <c r="C13" s="318"/>
      <c r="D13" s="135">
        <v>0.1</v>
      </c>
      <c r="E13" s="293" t="s">
        <v>47</v>
      </c>
      <c r="F13" s="294"/>
      <c r="G13" s="294"/>
      <c r="H13" s="294"/>
    </row>
    <row r="14" spans="1:9" ht="16.5" customHeight="1">
      <c r="A14" s="318" t="s">
        <v>13</v>
      </c>
      <c r="B14" s="318"/>
      <c r="C14" s="318"/>
      <c r="D14" s="2">
        <v>8</v>
      </c>
      <c r="E14" s="8" t="s">
        <v>14</v>
      </c>
      <c r="I14" s="10"/>
    </row>
    <row r="15" spans="1:9" ht="16.5" customHeight="1">
      <c r="A15" s="318" t="s">
        <v>15</v>
      </c>
      <c r="B15" s="318"/>
      <c r="C15" s="318"/>
      <c r="D15" s="2">
        <v>10</v>
      </c>
      <c r="E15" s="8" t="s">
        <v>16</v>
      </c>
    </row>
    <row r="16" spans="1:9" ht="16.5" customHeight="1">
      <c r="A16" s="318" t="s">
        <v>480</v>
      </c>
      <c r="B16" s="318"/>
      <c r="C16" s="318"/>
      <c r="D16" s="177">
        <v>304</v>
      </c>
      <c r="E16" s="173" t="s">
        <v>28</v>
      </c>
    </row>
    <row r="17" spans="1:9" ht="16.5" customHeight="1">
      <c r="A17" s="318" t="s">
        <v>17</v>
      </c>
      <c r="B17" s="318"/>
      <c r="C17" s="318"/>
      <c r="D17" s="2">
        <v>48</v>
      </c>
      <c r="E17" s="8" t="s">
        <v>18</v>
      </c>
    </row>
    <row r="18" spans="1:9" ht="16.5" customHeight="1">
      <c r="A18" s="318" t="s">
        <v>19</v>
      </c>
      <c r="B18" s="318"/>
      <c r="C18" s="318"/>
      <c r="D18" s="297">
        <f>D16*D17</f>
        <v>14592</v>
      </c>
      <c r="E18" s="8" t="s">
        <v>20</v>
      </c>
    </row>
    <row r="19" spans="1:9" ht="16.5" customHeight="1">
      <c r="A19" s="318" t="s">
        <v>21</v>
      </c>
      <c r="B19" s="318"/>
      <c r="C19" s="318"/>
      <c r="D19" s="2">
        <v>2</v>
      </c>
      <c r="E19" s="8" t="s">
        <v>22</v>
      </c>
    </row>
    <row r="20" spans="1:9">
      <c r="A20" s="314" t="s">
        <v>0</v>
      </c>
      <c r="B20" s="314"/>
      <c r="C20" s="314"/>
      <c r="D20" s="314"/>
      <c r="E20" s="314"/>
    </row>
    <row r="21" spans="1:9" ht="45.75" customHeight="1">
      <c r="A21" s="319" t="s">
        <v>1</v>
      </c>
      <c r="B21" s="319" t="s">
        <v>2</v>
      </c>
      <c r="C21" s="319"/>
      <c r="D21" s="319"/>
      <c r="E21" s="319"/>
      <c r="F21" s="319" t="s">
        <v>3</v>
      </c>
      <c r="G21" s="329" t="s">
        <v>4</v>
      </c>
      <c r="H21" s="329"/>
    </row>
    <row r="22" spans="1:9">
      <c r="A22" s="319"/>
      <c r="B22" s="319"/>
      <c r="C22" s="319"/>
      <c r="D22" s="319"/>
      <c r="E22" s="319"/>
      <c r="F22" s="319"/>
      <c r="G22" s="12" t="s">
        <v>5</v>
      </c>
      <c r="H22" s="13" t="s">
        <v>6</v>
      </c>
    </row>
    <row r="23" spans="1:9" ht="17.100000000000001" customHeight="1">
      <c r="A23" s="14"/>
      <c r="B23" s="326" t="s">
        <v>7</v>
      </c>
      <c r="C23" s="326"/>
      <c r="D23" s="326"/>
      <c r="E23" s="326"/>
      <c r="F23" s="15"/>
      <c r="G23" s="16">
        <v>1</v>
      </c>
      <c r="H23" s="17"/>
    </row>
    <row r="24" spans="1:9" ht="17.100000000000001" customHeight="1">
      <c r="A24" s="14">
        <v>1</v>
      </c>
      <c r="B24" s="320" t="s">
        <v>9</v>
      </c>
      <c r="C24" s="320"/>
      <c r="D24" s="320"/>
      <c r="E24" s="320"/>
      <c r="F24" s="15" t="s">
        <v>12</v>
      </c>
      <c r="G24" s="18">
        <v>0.6</v>
      </c>
      <c r="H24" s="17">
        <f>$D$18*G24</f>
        <v>8755.1999999999989</v>
      </c>
      <c r="I24" s="10"/>
    </row>
    <row r="25" spans="1:9" ht="17.100000000000001" customHeight="1">
      <c r="A25" s="14">
        <v>2</v>
      </c>
      <c r="B25" s="320" t="s">
        <v>10</v>
      </c>
      <c r="C25" s="320"/>
      <c r="D25" s="320"/>
      <c r="E25" s="320"/>
      <c r="F25" s="15" t="s">
        <v>12</v>
      </c>
      <c r="G25" s="18">
        <v>0.3</v>
      </c>
      <c r="H25" s="17">
        <f>$D$18*G25</f>
        <v>4377.5999999999995</v>
      </c>
      <c r="I25" s="10"/>
    </row>
    <row r="26" spans="1:9" ht="17.100000000000001" customHeight="1">
      <c r="A26" s="14">
        <v>3</v>
      </c>
      <c r="B26" s="320" t="s">
        <v>11</v>
      </c>
      <c r="C26" s="320"/>
      <c r="D26" s="320"/>
      <c r="E26" s="320"/>
      <c r="F26" s="15" t="s">
        <v>12</v>
      </c>
      <c r="G26" s="18">
        <v>0.1</v>
      </c>
      <c r="H26" s="17">
        <f>$D$18*G26</f>
        <v>1459.2</v>
      </c>
      <c r="I26" s="10"/>
    </row>
    <row r="27" spans="1:9" ht="17.100000000000001" customHeight="1">
      <c r="A27" s="14"/>
      <c r="B27" s="326" t="s">
        <v>8</v>
      </c>
      <c r="C27" s="326"/>
      <c r="D27" s="326"/>
      <c r="E27" s="326"/>
      <c r="F27" s="15"/>
      <c r="G27" s="16">
        <v>1</v>
      </c>
      <c r="H27" s="17"/>
    </row>
    <row r="28" spans="1:9" ht="17.100000000000001" customHeight="1">
      <c r="A28" s="14">
        <v>1</v>
      </c>
      <c r="B28" s="320" t="s">
        <v>24</v>
      </c>
      <c r="C28" s="320"/>
      <c r="D28" s="320"/>
      <c r="E28" s="320"/>
      <c r="F28" s="15" t="s">
        <v>12</v>
      </c>
      <c r="G28" s="18">
        <v>0.3</v>
      </c>
      <c r="H28" s="17">
        <f>$D$18*G28</f>
        <v>4377.5999999999995</v>
      </c>
    </row>
    <row r="29" spans="1:9" ht="17.100000000000001" customHeight="1">
      <c r="A29" s="14">
        <v>2</v>
      </c>
      <c r="B29" s="320" t="s">
        <v>25</v>
      </c>
      <c r="C29" s="320"/>
      <c r="D29" s="320"/>
      <c r="E29" s="320"/>
      <c r="F29" s="15" t="s">
        <v>12</v>
      </c>
      <c r="G29" s="18">
        <v>0.2</v>
      </c>
      <c r="H29" s="17">
        <f>$D$18*G29</f>
        <v>2918.4</v>
      </c>
    </row>
    <row r="30" spans="1:9" ht="17.100000000000001" customHeight="1">
      <c r="A30" s="14">
        <v>3</v>
      </c>
      <c r="B30" s="320" t="s">
        <v>26</v>
      </c>
      <c r="C30" s="320"/>
      <c r="D30" s="320"/>
      <c r="E30" s="320"/>
      <c r="F30" s="15" t="s">
        <v>12</v>
      </c>
      <c r="G30" s="18">
        <v>0.3</v>
      </c>
      <c r="H30" s="17">
        <f>$D$18*G30</f>
        <v>4377.5999999999995</v>
      </c>
    </row>
    <row r="31" spans="1:9" ht="17.100000000000001" customHeight="1">
      <c r="A31" s="14">
        <v>4</v>
      </c>
      <c r="B31" s="320" t="s">
        <v>27</v>
      </c>
      <c r="C31" s="320"/>
      <c r="D31" s="320"/>
      <c r="E31" s="320"/>
      <c r="F31" s="15" t="s">
        <v>12</v>
      </c>
      <c r="G31" s="18">
        <v>0.2</v>
      </c>
      <c r="H31" s="17">
        <f>$D$18*G31</f>
        <v>2918.4</v>
      </c>
    </row>
    <row r="32" spans="1:9" ht="17.100000000000001" customHeight="1">
      <c r="B32" s="321"/>
      <c r="C32" s="321"/>
      <c r="D32" s="321"/>
      <c r="E32" s="321"/>
    </row>
    <row r="33" spans="1:9" ht="17.100000000000001" customHeight="1">
      <c r="A33" s="322" t="s">
        <v>29</v>
      </c>
      <c r="B33" s="322"/>
      <c r="C33" s="322"/>
      <c r="D33" s="322"/>
      <c r="E33" s="322"/>
      <c r="F33" s="322"/>
      <c r="G33" s="322"/>
      <c r="H33" s="322"/>
    </row>
    <row r="34" spans="1:9" ht="17.100000000000001" customHeight="1">
      <c r="A34" s="19" t="s">
        <v>1</v>
      </c>
      <c r="B34" s="19" t="s">
        <v>2</v>
      </c>
      <c r="C34" s="19" t="s">
        <v>3</v>
      </c>
      <c r="D34" s="19" t="s">
        <v>33</v>
      </c>
      <c r="E34" s="19" t="s">
        <v>34</v>
      </c>
      <c r="F34" s="19" t="s">
        <v>35</v>
      </c>
      <c r="G34" s="12" t="s">
        <v>36</v>
      </c>
      <c r="H34" s="13" t="s">
        <v>37</v>
      </c>
    </row>
    <row r="35" spans="1:9" ht="17.100000000000001" customHeight="1">
      <c r="A35" s="19" t="s">
        <v>38</v>
      </c>
      <c r="B35" s="19" t="s">
        <v>39</v>
      </c>
      <c r="C35" s="19" t="s">
        <v>40</v>
      </c>
      <c r="D35" s="19">
        <v>1</v>
      </c>
      <c r="E35" s="19">
        <v>2</v>
      </c>
      <c r="F35" s="19">
        <v>3</v>
      </c>
      <c r="G35" s="19">
        <v>4</v>
      </c>
      <c r="H35" s="13">
        <v>5</v>
      </c>
    </row>
    <row r="36" spans="1:9" ht="17.100000000000001" customHeight="1">
      <c r="A36" s="221"/>
      <c r="B36" s="323" t="s">
        <v>160</v>
      </c>
      <c r="C36" s="324"/>
      <c r="D36" s="144">
        <v>0</v>
      </c>
      <c r="E36" s="144">
        <f>D10</f>
        <v>0.05</v>
      </c>
      <c r="F36" s="144">
        <f>E36</f>
        <v>0.05</v>
      </c>
      <c r="G36" s="144">
        <f>F36</f>
        <v>0.05</v>
      </c>
      <c r="H36" s="144">
        <f>G36</f>
        <v>0.05</v>
      </c>
    </row>
    <row r="37" spans="1:9" ht="17.100000000000001" customHeight="1">
      <c r="A37" s="19" t="s">
        <v>41</v>
      </c>
      <c r="B37" s="20" t="s">
        <v>42</v>
      </c>
      <c r="C37" s="14"/>
      <c r="D37" s="14"/>
      <c r="E37" s="15"/>
      <c r="F37" s="15"/>
      <c r="G37" s="18"/>
      <c r="H37" s="17"/>
    </row>
    <row r="38" spans="1:9" ht="17.100000000000001" customHeight="1">
      <c r="A38" s="14">
        <v>1</v>
      </c>
      <c r="B38" s="21" t="s">
        <v>9</v>
      </c>
      <c r="C38" s="14" t="s">
        <v>45</v>
      </c>
      <c r="D38" s="23">
        <f>(H24+D36)*$D$9</f>
        <v>4815.3599999999997</v>
      </c>
      <c r="E38" s="23">
        <f>D38*(1+$E$36)</f>
        <v>5056.1279999999997</v>
      </c>
      <c r="F38" s="23">
        <f>E38*(1+$D$10)</f>
        <v>5308.9344000000001</v>
      </c>
      <c r="G38" s="23">
        <f>F38*(1+$D$10)</f>
        <v>5574.38112</v>
      </c>
      <c r="H38" s="23">
        <f>G38*(1+$D$10)</f>
        <v>5853.1001759999999</v>
      </c>
      <c r="I38" s="27"/>
    </row>
    <row r="39" spans="1:9" ht="17.100000000000001" customHeight="1">
      <c r="A39" s="14">
        <v>2</v>
      </c>
      <c r="B39" s="21" t="s">
        <v>10</v>
      </c>
      <c r="C39" s="14" t="s">
        <v>45</v>
      </c>
      <c r="D39" s="23">
        <f>H25*$D$9</f>
        <v>2407.6799999999998</v>
      </c>
      <c r="E39" s="23">
        <f>D39*(1+$E$36)</f>
        <v>2528.0639999999999</v>
      </c>
      <c r="F39" s="23">
        <f>E39*(1+$D$10)</f>
        <v>2654.4672</v>
      </c>
      <c r="G39" s="23">
        <f>F39*(1+$D$10)</f>
        <v>2787.19056</v>
      </c>
      <c r="H39" s="23">
        <f>G39*(1+$D$10)</f>
        <v>2926.550088</v>
      </c>
      <c r="I39" s="24"/>
    </row>
    <row r="40" spans="1:9" ht="17.100000000000001" customHeight="1">
      <c r="A40" s="14">
        <v>3</v>
      </c>
      <c r="B40" s="21" t="s">
        <v>11</v>
      </c>
      <c r="C40" s="14" t="s">
        <v>45</v>
      </c>
      <c r="D40" s="23">
        <f>H26*$D$9</f>
        <v>802.56000000000006</v>
      </c>
      <c r="E40" s="23">
        <f>D40*(1+$E$36)</f>
        <v>842.6880000000001</v>
      </c>
      <c r="F40" s="23">
        <f>E40*(1+$D$10)</f>
        <v>884.82240000000013</v>
      </c>
      <c r="G40" s="23">
        <f>F40*(1+$D$10)</f>
        <v>929.06352000000015</v>
      </c>
      <c r="H40" s="23">
        <f>G40*(1+$D$10)</f>
        <v>975.51669600000025</v>
      </c>
    </row>
    <row r="41" spans="1:9" ht="17.100000000000001" customHeight="1">
      <c r="A41" s="19" t="s">
        <v>43</v>
      </c>
      <c r="B41" s="20" t="s">
        <v>44</v>
      </c>
      <c r="C41" s="14"/>
      <c r="D41" s="23"/>
      <c r="E41" s="23"/>
      <c r="F41" s="23"/>
      <c r="G41" s="23"/>
      <c r="H41" s="23"/>
    </row>
    <row r="42" spans="1:9" ht="17.100000000000001" customHeight="1">
      <c r="A42" s="14">
        <v>1</v>
      </c>
      <c r="B42" s="21" t="s">
        <v>24</v>
      </c>
      <c r="C42" s="14" t="s">
        <v>45</v>
      </c>
      <c r="D42" s="23">
        <f>H28*$D$9</f>
        <v>2407.6799999999998</v>
      </c>
      <c r="E42" s="23">
        <f>D42*(1+$E$36)</f>
        <v>2528.0639999999999</v>
      </c>
      <c r="F42" s="23">
        <f>E42*(1+$D$10)</f>
        <v>2654.4672</v>
      </c>
      <c r="G42" s="23">
        <f>F42*(1+$D$10)</f>
        <v>2787.19056</v>
      </c>
      <c r="H42" s="23">
        <f>G42*(1+$D$10)</f>
        <v>2926.550088</v>
      </c>
    </row>
    <row r="43" spans="1:9" ht="17.100000000000001" customHeight="1">
      <c r="A43" s="14">
        <v>2</v>
      </c>
      <c r="B43" s="21" t="s">
        <v>25</v>
      </c>
      <c r="C43" s="14" t="s">
        <v>45</v>
      </c>
      <c r="D43" s="23">
        <f>H29*$D$9</f>
        <v>1605.1200000000001</v>
      </c>
      <c r="E43" s="23">
        <f>D43*(1+$E$36)</f>
        <v>1685.3760000000002</v>
      </c>
      <c r="F43" s="23">
        <f>E43*(1+$D$10)</f>
        <v>1769.6448000000003</v>
      </c>
      <c r="G43" s="23">
        <f>F43*(1+$D$10)</f>
        <v>1858.1270400000003</v>
      </c>
      <c r="H43" s="23">
        <f>G43*(1+$D$10)</f>
        <v>1951.0333920000005</v>
      </c>
    </row>
    <row r="44" spans="1:9" ht="17.100000000000001" customHeight="1">
      <c r="A44" s="14">
        <v>3</v>
      </c>
      <c r="B44" s="21" t="s">
        <v>26</v>
      </c>
      <c r="C44" s="14" t="s">
        <v>45</v>
      </c>
      <c r="D44" s="23">
        <f>H30*$D$9</f>
        <v>2407.6799999999998</v>
      </c>
      <c r="E44" s="23">
        <f>D44*(1+$E$36)</f>
        <v>2528.0639999999999</v>
      </c>
      <c r="F44" s="23">
        <f>E44*(1+$D$10)</f>
        <v>2654.4672</v>
      </c>
      <c r="G44" s="23">
        <f>F44*(1+$D$10)</f>
        <v>2787.19056</v>
      </c>
      <c r="H44" s="23">
        <f>G44*(1+$D$10)</f>
        <v>2926.550088</v>
      </c>
    </row>
    <row r="45" spans="1:9" ht="17.100000000000001" customHeight="1">
      <c r="A45" s="14">
        <v>4</v>
      </c>
      <c r="B45" s="21" t="s">
        <v>27</v>
      </c>
      <c r="C45" s="14" t="s">
        <v>45</v>
      </c>
      <c r="D45" s="23">
        <f>H31*$D$9</f>
        <v>1605.1200000000001</v>
      </c>
      <c r="E45" s="23">
        <f>D45*(1+$E$36)</f>
        <v>1685.3760000000002</v>
      </c>
      <c r="F45" s="23">
        <f>E45*(1+$D$10)</f>
        <v>1769.6448000000003</v>
      </c>
      <c r="G45" s="23">
        <f>F45*(1+$D$10)</f>
        <v>1858.1270400000003</v>
      </c>
      <c r="H45" s="23">
        <f>G45*(1+$D$10)</f>
        <v>1951.0333920000005</v>
      </c>
    </row>
    <row r="46" spans="1:9" ht="17.100000000000001" customHeight="1">
      <c r="A46" s="14"/>
      <c r="B46" s="19" t="s">
        <v>49</v>
      </c>
      <c r="C46" s="14"/>
      <c r="D46" s="28">
        <f>SUM(D38:D45)</f>
        <v>16051.2</v>
      </c>
      <c r="E46" s="28">
        <f t="shared" ref="E46:H46" si="0">SUM(E38:E45)</f>
        <v>16853.760000000002</v>
      </c>
      <c r="F46" s="28">
        <f t="shared" si="0"/>
        <v>17696.448000000004</v>
      </c>
      <c r="G46" s="28">
        <f t="shared" si="0"/>
        <v>18581.270399999998</v>
      </c>
      <c r="H46" s="28">
        <f t="shared" si="0"/>
        <v>19510.333920000001</v>
      </c>
    </row>
    <row r="47" spans="1:9" ht="17.100000000000001" customHeight="1"/>
    <row r="48" spans="1:9" ht="17.100000000000001" customHeight="1">
      <c r="A48" s="19" t="s">
        <v>1</v>
      </c>
      <c r="B48" s="19" t="s">
        <v>2</v>
      </c>
      <c r="C48" s="19" t="s">
        <v>3</v>
      </c>
      <c r="D48" s="19" t="s">
        <v>50</v>
      </c>
      <c r="E48" s="19" t="s">
        <v>51</v>
      </c>
      <c r="F48" s="19" t="s">
        <v>52</v>
      </c>
      <c r="G48" s="12" t="s">
        <v>53</v>
      </c>
      <c r="H48" s="13" t="s">
        <v>54</v>
      </c>
    </row>
    <row r="49" spans="1:8" ht="17.100000000000001" customHeight="1">
      <c r="A49" s="19" t="s">
        <v>38</v>
      </c>
      <c r="B49" s="19" t="s">
        <v>39</v>
      </c>
      <c r="C49" s="19" t="s">
        <v>40</v>
      </c>
      <c r="D49" s="19">
        <v>6</v>
      </c>
      <c r="E49" s="19">
        <v>7</v>
      </c>
      <c r="F49" s="19">
        <v>8</v>
      </c>
      <c r="G49" s="19">
        <v>9</v>
      </c>
      <c r="H49" s="13">
        <v>10</v>
      </c>
    </row>
    <row r="50" spans="1:8" ht="17.100000000000001" customHeight="1">
      <c r="A50" s="221"/>
      <c r="B50" s="323" t="s">
        <v>160</v>
      </c>
      <c r="C50" s="324"/>
      <c r="D50" s="144">
        <f>D11</f>
        <v>0.03</v>
      </c>
      <c r="E50" s="144">
        <f>D50</f>
        <v>0.03</v>
      </c>
      <c r="F50" s="144">
        <f>E50</f>
        <v>0.03</v>
      </c>
      <c r="G50" s="144">
        <f>F50</f>
        <v>0.03</v>
      </c>
      <c r="H50" s="144">
        <f>G50</f>
        <v>0.03</v>
      </c>
    </row>
    <row r="51" spans="1:8" ht="17.100000000000001" customHeight="1">
      <c r="A51" s="19" t="s">
        <v>41</v>
      </c>
      <c r="B51" s="20" t="s">
        <v>42</v>
      </c>
      <c r="C51" s="14"/>
      <c r="D51" s="14"/>
      <c r="E51" s="15"/>
      <c r="F51" s="15"/>
      <c r="G51" s="18"/>
      <c r="H51" s="17"/>
    </row>
    <row r="52" spans="1:8" ht="17.100000000000001" customHeight="1">
      <c r="A52" s="14">
        <v>1</v>
      </c>
      <c r="B52" s="21" t="s">
        <v>9</v>
      </c>
      <c r="C52" s="14" t="s">
        <v>45</v>
      </c>
      <c r="D52" s="23">
        <f>H38*(1+$D$50)</f>
        <v>6028.6931812800003</v>
      </c>
      <c r="E52" s="23">
        <f>D52*(1+E$50)</f>
        <v>6209.5539767184009</v>
      </c>
      <c r="F52" s="23">
        <f t="shared" ref="F52:H52" si="1">E52*(1+F$50)</f>
        <v>6395.8405960199534</v>
      </c>
      <c r="G52" s="23">
        <f t="shared" si="1"/>
        <v>6587.7158139005523</v>
      </c>
      <c r="H52" s="23">
        <f t="shared" si="1"/>
        <v>6785.3472883175691</v>
      </c>
    </row>
    <row r="53" spans="1:8" ht="17.100000000000001" customHeight="1">
      <c r="A53" s="14">
        <v>2</v>
      </c>
      <c r="B53" s="21" t="s">
        <v>10</v>
      </c>
      <c r="C53" s="14" t="s">
        <v>45</v>
      </c>
      <c r="D53" s="23">
        <f>H39*(1+$D$50)</f>
        <v>3014.3465906400002</v>
      </c>
      <c r="E53" s="23">
        <f t="shared" ref="E53:H53" si="2">D53*(1+E$50)</f>
        <v>3104.7769883592005</v>
      </c>
      <c r="F53" s="23">
        <f t="shared" si="2"/>
        <v>3197.9202980099767</v>
      </c>
      <c r="G53" s="23">
        <f t="shared" si="2"/>
        <v>3293.8579069502762</v>
      </c>
      <c r="H53" s="23">
        <f t="shared" si="2"/>
        <v>3392.6736441587846</v>
      </c>
    </row>
    <row r="54" spans="1:8" ht="17.100000000000001" customHeight="1">
      <c r="A54" s="14">
        <v>3</v>
      </c>
      <c r="B54" s="21" t="s">
        <v>11</v>
      </c>
      <c r="C54" s="14" t="s">
        <v>45</v>
      </c>
      <c r="D54" s="23">
        <f>H40*(1+$D$50)</f>
        <v>1004.7821968800002</v>
      </c>
      <c r="E54" s="23">
        <f t="shared" ref="E54:H54" si="3">D54*(1+E$50)</f>
        <v>1034.9256627864004</v>
      </c>
      <c r="F54" s="23">
        <f t="shared" si="3"/>
        <v>1065.9734326699925</v>
      </c>
      <c r="G54" s="23">
        <f t="shared" si="3"/>
        <v>1097.9526356500924</v>
      </c>
      <c r="H54" s="23">
        <f t="shared" si="3"/>
        <v>1130.8912147195952</v>
      </c>
    </row>
    <row r="55" spans="1:8" ht="17.100000000000001" customHeight="1">
      <c r="A55" s="19" t="s">
        <v>43</v>
      </c>
      <c r="B55" s="20" t="s">
        <v>44</v>
      </c>
      <c r="C55" s="14"/>
      <c r="D55" s="23"/>
      <c r="E55" s="23"/>
      <c r="F55" s="23"/>
      <c r="G55" s="23"/>
      <c r="H55" s="23"/>
    </row>
    <row r="56" spans="1:8" ht="17.100000000000001" customHeight="1">
      <c r="A56" s="14">
        <v>1</v>
      </c>
      <c r="B56" s="21" t="s">
        <v>24</v>
      </c>
      <c r="C56" s="14" t="s">
        <v>45</v>
      </c>
      <c r="D56" s="23">
        <f>H42*(1+$D$50)</f>
        <v>3014.3465906400002</v>
      </c>
      <c r="E56" s="23">
        <f t="shared" ref="E56:H56" si="4">D56*(1+E$50)</f>
        <v>3104.7769883592005</v>
      </c>
      <c r="F56" s="23">
        <f t="shared" si="4"/>
        <v>3197.9202980099767</v>
      </c>
      <c r="G56" s="23">
        <f t="shared" si="4"/>
        <v>3293.8579069502762</v>
      </c>
      <c r="H56" s="23">
        <f t="shared" si="4"/>
        <v>3392.6736441587846</v>
      </c>
    </row>
    <row r="57" spans="1:8" ht="17.100000000000001" customHeight="1">
      <c r="A57" s="14">
        <v>2</v>
      </c>
      <c r="B57" s="21" t="s">
        <v>25</v>
      </c>
      <c r="C57" s="14" t="s">
        <v>45</v>
      </c>
      <c r="D57" s="23">
        <f>H43*(1+$D$50)</f>
        <v>2009.5643937600005</v>
      </c>
      <c r="E57" s="23">
        <f t="shared" ref="E57:H57" si="5">D57*(1+E$50)</f>
        <v>2069.8513255728008</v>
      </c>
      <c r="F57" s="23">
        <f t="shared" si="5"/>
        <v>2131.9468653399849</v>
      </c>
      <c r="G57" s="23">
        <f t="shared" si="5"/>
        <v>2195.9052713001847</v>
      </c>
      <c r="H57" s="23">
        <f t="shared" si="5"/>
        <v>2261.7824294391903</v>
      </c>
    </row>
    <row r="58" spans="1:8" ht="17.100000000000001" customHeight="1">
      <c r="A58" s="14">
        <v>3</v>
      </c>
      <c r="B58" s="21" t="s">
        <v>26</v>
      </c>
      <c r="C58" s="14" t="s">
        <v>45</v>
      </c>
      <c r="D58" s="23">
        <f>H44*(1+$D$50)</f>
        <v>3014.3465906400002</v>
      </c>
      <c r="E58" s="23">
        <f t="shared" ref="E58:H58" si="6">D58*(1+E$50)</f>
        <v>3104.7769883592005</v>
      </c>
      <c r="F58" s="23">
        <f t="shared" si="6"/>
        <v>3197.9202980099767</v>
      </c>
      <c r="G58" s="23">
        <f t="shared" si="6"/>
        <v>3293.8579069502762</v>
      </c>
      <c r="H58" s="23">
        <f t="shared" si="6"/>
        <v>3392.6736441587846</v>
      </c>
    </row>
    <row r="59" spans="1:8" ht="17.100000000000001" customHeight="1">
      <c r="A59" s="14">
        <v>4</v>
      </c>
      <c r="B59" s="21" t="s">
        <v>27</v>
      </c>
      <c r="C59" s="14" t="s">
        <v>45</v>
      </c>
      <c r="D59" s="23">
        <f>H45*(1+$D$50)</f>
        <v>2009.5643937600005</v>
      </c>
      <c r="E59" s="23">
        <f t="shared" ref="E59:H59" si="7">D59*(1+E$50)</f>
        <v>2069.8513255728008</v>
      </c>
      <c r="F59" s="23">
        <f t="shared" si="7"/>
        <v>2131.9468653399849</v>
      </c>
      <c r="G59" s="23">
        <f t="shared" si="7"/>
        <v>2195.9052713001847</v>
      </c>
      <c r="H59" s="23">
        <f t="shared" si="7"/>
        <v>2261.7824294391903</v>
      </c>
    </row>
    <row r="60" spans="1:8" ht="17.100000000000001" customHeight="1">
      <c r="A60" s="14"/>
      <c r="B60" s="19" t="s">
        <v>49</v>
      </c>
      <c r="C60" s="14"/>
      <c r="D60" s="28">
        <f>SUM(D52:D59)</f>
        <v>20095.643937600002</v>
      </c>
      <c r="E60" s="28">
        <f t="shared" ref="E60" si="8">SUM(E52:E59)</f>
        <v>20698.513255728001</v>
      </c>
      <c r="F60" s="28">
        <f t="shared" ref="F60" si="9">SUM(F52:F59)</f>
        <v>21319.468653399847</v>
      </c>
      <c r="G60" s="28">
        <f t="shared" ref="G60" si="10">SUM(G52:G59)</f>
        <v>21959.052713001842</v>
      </c>
      <c r="H60" s="28">
        <f t="shared" ref="H60" si="11">SUM(H52:H59)</f>
        <v>22617.824294391899</v>
      </c>
    </row>
    <row r="61" spans="1:8" ht="17.100000000000001" customHeight="1"/>
    <row r="62" spans="1:8" ht="17.100000000000001" customHeight="1">
      <c r="A62" s="19" t="s">
        <v>1</v>
      </c>
      <c r="B62" s="19" t="s">
        <v>2</v>
      </c>
      <c r="C62" s="19" t="s">
        <v>3</v>
      </c>
      <c r="D62" s="19" t="s">
        <v>55</v>
      </c>
      <c r="E62" s="19" t="s">
        <v>56</v>
      </c>
      <c r="F62" s="19" t="s">
        <v>57</v>
      </c>
      <c r="G62" s="12" t="s">
        <v>58</v>
      </c>
      <c r="H62" s="13" t="s">
        <v>59</v>
      </c>
    </row>
    <row r="63" spans="1:8" ht="17.100000000000001" customHeight="1">
      <c r="A63" s="19" t="s">
        <v>38</v>
      </c>
      <c r="B63" s="19" t="s">
        <v>39</v>
      </c>
      <c r="C63" s="19" t="s">
        <v>40</v>
      </c>
      <c r="D63" s="19">
        <v>11</v>
      </c>
      <c r="E63" s="19">
        <v>12</v>
      </c>
      <c r="F63" s="19">
        <v>13</v>
      </c>
      <c r="G63" s="19">
        <v>14</v>
      </c>
      <c r="H63" s="13">
        <v>15</v>
      </c>
    </row>
    <row r="64" spans="1:8" ht="17.100000000000001" customHeight="1">
      <c r="A64" s="221"/>
      <c r="B64" s="323" t="s">
        <v>160</v>
      </c>
      <c r="C64" s="324"/>
      <c r="D64" s="144">
        <f>H50</f>
        <v>0.03</v>
      </c>
      <c r="E64" s="144">
        <f>D64</f>
        <v>0.03</v>
      </c>
      <c r="F64" s="144">
        <f>E64</f>
        <v>0.03</v>
      </c>
      <c r="G64" s="144">
        <f>F64</f>
        <v>0.03</v>
      </c>
      <c r="H64" s="144">
        <f>G64</f>
        <v>0.03</v>
      </c>
    </row>
    <row r="65" spans="1:9" ht="17.100000000000001" customHeight="1">
      <c r="A65" s="19" t="s">
        <v>41</v>
      </c>
      <c r="B65" s="20" t="s">
        <v>42</v>
      </c>
      <c r="C65" s="14"/>
      <c r="D65" s="14"/>
      <c r="E65" s="15"/>
      <c r="F65" s="15"/>
      <c r="G65" s="18"/>
      <c r="H65" s="17"/>
    </row>
    <row r="66" spans="1:9" ht="17.100000000000001" customHeight="1">
      <c r="A66" s="14">
        <v>1</v>
      </c>
      <c r="B66" s="21" t="s">
        <v>9</v>
      </c>
      <c r="C66" s="14" t="s">
        <v>45</v>
      </c>
      <c r="D66" s="23">
        <f>H52*(1+$D$64)</f>
        <v>6988.9077069670966</v>
      </c>
      <c r="E66" s="23">
        <f>D66*(1+E$64)</f>
        <v>7198.5749381761098</v>
      </c>
      <c r="F66" s="23">
        <f t="shared" ref="F66:H66" si="12">E66*(1+F$64)</f>
        <v>7414.5321863213931</v>
      </c>
      <c r="G66" s="23">
        <f t="shared" si="12"/>
        <v>7636.9681519110354</v>
      </c>
      <c r="H66" s="23">
        <f t="shared" si="12"/>
        <v>7866.0771964683663</v>
      </c>
      <c r="I66" s="374"/>
    </row>
    <row r="67" spans="1:9" ht="17.100000000000001" customHeight="1">
      <c r="A67" s="14">
        <v>2</v>
      </c>
      <c r="B67" s="21" t="s">
        <v>10</v>
      </c>
      <c r="C67" s="14" t="s">
        <v>45</v>
      </c>
      <c r="D67" s="23">
        <f>H53*(1+$D$64)</f>
        <v>3494.4538534835483</v>
      </c>
      <c r="E67" s="23">
        <f t="shared" ref="E67:H67" si="13">D67*(1+E$64)</f>
        <v>3599.2874690880549</v>
      </c>
      <c r="F67" s="23">
        <f t="shared" si="13"/>
        <v>3707.2660931606965</v>
      </c>
      <c r="G67" s="23">
        <f t="shared" si="13"/>
        <v>3818.4840759555177</v>
      </c>
      <c r="H67" s="23">
        <f t="shared" si="13"/>
        <v>3933.0385982341832</v>
      </c>
    </row>
    <row r="68" spans="1:9" ht="17.100000000000001" customHeight="1">
      <c r="A68" s="14">
        <v>3</v>
      </c>
      <c r="B68" s="21" t="s">
        <v>11</v>
      </c>
      <c r="C68" s="14" t="s">
        <v>45</v>
      </c>
      <c r="D68" s="23">
        <f>H54*(1+$D$64)</f>
        <v>1164.8179511611831</v>
      </c>
      <c r="E68" s="23">
        <f t="shared" ref="E68:H68" si="14">D68*(1+E$64)</f>
        <v>1199.7624896960187</v>
      </c>
      <c r="F68" s="23">
        <f t="shared" si="14"/>
        <v>1235.7553643868994</v>
      </c>
      <c r="G68" s="23">
        <f t="shared" si="14"/>
        <v>1272.8280253185064</v>
      </c>
      <c r="H68" s="23">
        <f t="shared" si="14"/>
        <v>1311.0128660780617</v>
      </c>
    </row>
    <row r="69" spans="1:9" ht="17.100000000000001" customHeight="1">
      <c r="A69" s="19" t="s">
        <v>43</v>
      </c>
      <c r="B69" s="20" t="s">
        <v>44</v>
      </c>
      <c r="C69" s="14"/>
      <c r="D69" s="23"/>
      <c r="E69" s="23"/>
      <c r="F69" s="23"/>
      <c r="G69" s="23"/>
      <c r="H69" s="23"/>
    </row>
    <row r="70" spans="1:9" ht="17.100000000000001" customHeight="1">
      <c r="A70" s="14">
        <v>1</v>
      </c>
      <c r="B70" s="21" t="s">
        <v>24</v>
      </c>
      <c r="C70" s="14" t="s">
        <v>45</v>
      </c>
      <c r="D70" s="23">
        <f>H56*(1+$D$64)</f>
        <v>3494.4538534835483</v>
      </c>
      <c r="E70" s="23">
        <f t="shared" ref="E70:H70" si="15">D70*(1+E$64)</f>
        <v>3599.2874690880549</v>
      </c>
      <c r="F70" s="23">
        <f t="shared" si="15"/>
        <v>3707.2660931606965</v>
      </c>
      <c r="G70" s="23">
        <f t="shared" si="15"/>
        <v>3818.4840759555177</v>
      </c>
      <c r="H70" s="23">
        <f t="shared" si="15"/>
        <v>3933.0385982341832</v>
      </c>
    </row>
    <row r="71" spans="1:9" ht="17.100000000000001" customHeight="1">
      <c r="A71" s="14">
        <v>2</v>
      </c>
      <c r="B71" s="21" t="s">
        <v>25</v>
      </c>
      <c r="C71" s="14" t="s">
        <v>45</v>
      </c>
      <c r="D71" s="23">
        <f>H57*(1+$D$64)</f>
        <v>2329.6359023223663</v>
      </c>
      <c r="E71" s="23">
        <f t="shared" ref="E71:H71" si="16">D71*(1+E$64)</f>
        <v>2399.5249793920375</v>
      </c>
      <c r="F71" s="23">
        <f t="shared" si="16"/>
        <v>2471.5107287737987</v>
      </c>
      <c r="G71" s="23">
        <f t="shared" si="16"/>
        <v>2545.6560506370129</v>
      </c>
      <c r="H71" s="23">
        <f t="shared" si="16"/>
        <v>2622.0257321561235</v>
      </c>
    </row>
    <row r="72" spans="1:9" ht="17.100000000000001" customHeight="1">
      <c r="A72" s="14">
        <v>3</v>
      </c>
      <c r="B72" s="21" t="s">
        <v>26</v>
      </c>
      <c r="C72" s="14" t="s">
        <v>45</v>
      </c>
      <c r="D72" s="23">
        <f>H58*(1+$D$64)</f>
        <v>3494.4538534835483</v>
      </c>
      <c r="E72" s="23">
        <f t="shared" ref="E72:H72" si="17">D72*(1+E$64)</f>
        <v>3599.2874690880549</v>
      </c>
      <c r="F72" s="23">
        <f t="shared" si="17"/>
        <v>3707.2660931606965</v>
      </c>
      <c r="G72" s="23">
        <f t="shared" si="17"/>
        <v>3818.4840759555177</v>
      </c>
      <c r="H72" s="23">
        <f t="shared" si="17"/>
        <v>3933.0385982341832</v>
      </c>
    </row>
    <row r="73" spans="1:9" ht="17.100000000000001" customHeight="1">
      <c r="A73" s="14">
        <v>4</v>
      </c>
      <c r="B73" s="21" t="s">
        <v>27</v>
      </c>
      <c r="C73" s="14" t="s">
        <v>45</v>
      </c>
      <c r="D73" s="23">
        <f>H59*(1+$D$64)</f>
        <v>2329.6359023223663</v>
      </c>
      <c r="E73" s="23">
        <f t="shared" ref="E73:H73" si="18">D73*(1+E$64)</f>
        <v>2399.5249793920375</v>
      </c>
      <c r="F73" s="23">
        <f t="shared" si="18"/>
        <v>2471.5107287737987</v>
      </c>
      <c r="G73" s="23">
        <f t="shared" si="18"/>
        <v>2545.6560506370129</v>
      </c>
      <c r="H73" s="23">
        <f t="shared" si="18"/>
        <v>2622.0257321561235</v>
      </c>
    </row>
    <row r="74" spans="1:9" ht="17.100000000000001" customHeight="1">
      <c r="A74" s="14"/>
      <c r="B74" s="19" t="s">
        <v>49</v>
      </c>
      <c r="C74" s="14"/>
      <c r="D74" s="28">
        <f>SUM(D66:D73)</f>
        <v>23296.359023223657</v>
      </c>
      <c r="E74" s="28">
        <f t="shared" ref="E74" si="19">SUM(E66:E73)</f>
        <v>23995.249793920368</v>
      </c>
      <c r="F74" s="28">
        <f t="shared" ref="F74" si="20">SUM(F66:F73)</f>
        <v>24715.107287737977</v>
      </c>
      <c r="G74" s="28">
        <f t="shared" ref="G74" si="21">SUM(G66:G73)</f>
        <v>25456.560506370119</v>
      </c>
      <c r="H74" s="28">
        <f t="shared" ref="H74" si="22">SUM(H66:H73)</f>
        <v>26220.257321561221</v>
      </c>
    </row>
    <row r="75" spans="1:9" ht="17.100000000000001" customHeight="1"/>
    <row r="76" spans="1:9" ht="17.100000000000001" customHeight="1">
      <c r="A76" s="322" t="s">
        <v>62</v>
      </c>
      <c r="B76" s="322"/>
      <c r="C76" s="322"/>
      <c r="D76" s="322"/>
      <c r="E76" s="322"/>
      <c r="F76" s="322"/>
      <c r="G76" s="322"/>
      <c r="H76" s="322"/>
    </row>
    <row r="77" spans="1:9" ht="17.100000000000001" customHeight="1">
      <c r="G77" s="29" t="s">
        <v>60</v>
      </c>
      <c r="H77" s="30" t="s">
        <v>61</v>
      </c>
    </row>
    <row r="78" spans="1:9" ht="17.100000000000001" customHeight="1">
      <c r="A78" s="19" t="s">
        <v>1</v>
      </c>
      <c r="B78" s="19" t="s">
        <v>2</v>
      </c>
      <c r="C78" s="19" t="s">
        <v>3</v>
      </c>
      <c r="D78" s="19" t="s">
        <v>33</v>
      </c>
      <c r="E78" s="19" t="s">
        <v>34</v>
      </c>
      <c r="F78" s="19" t="s">
        <v>35</v>
      </c>
      <c r="G78" s="12" t="s">
        <v>36</v>
      </c>
      <c r="H78" s="13" t="s">
        <v>37</v>
      </c>
      <c r="I78" s="372" t="s">
        <v>508</v>
      </c>
    </row>
    <row r="79" spans="1:9" ht="17.100000000000001" customHeight="1">
      <c r="A79" s="19" t="s">
        <v>38</v>
      </c>
      <c r="B79" s="19" t="s">
        <v>39</v>
      </c>
      <c r="C79" s="19" t="s">
        <v>40</v>
      </c>
      <c r="D79" s="19">
        <v>1</v>
      </c>
      <c r="E79" s="19">
        <v>2</v>
      </c>
      <c r="F79" s="19">
        <v>3</v>
      </c>
      <c r="G79" s="19">
        <v>4</v>
      </c>
      <c r="H79" s="13">
        <v>5</v>
      </c>
      <c r="I79" s="373"/>
    </row>
    <row r="80" spans="1:9" ht="17.100000000000001" customHeight="1">
      <c r="A80" s="19" t="s">
        <v>41</v>
      </c>
      <c r="B80" s="20" t="s">
        <v>42</v>
      </c>
      <c r="C80" s="14"/>
      <c r="D80" s="14"/>
      <c r="E80" s="15"/>
      <c r="F80" s="15"/>
      <c r="G80" s="18"/>
      <c r="H80" s="17"/>
      <c r="I80" s="15"/>
    </row>
    <row r="81" spans="1:9" ht="17.100000000000001" customHeight="1">
      <c r="A81" s="14">
        <v>1</v>
      </c>
      <c r="B81" s="21" t="s">
        <v>9</v>
      </c>
      <c r="C81" s="14" t="s">
        <v>45</v>
      </c>
      <c r="D81" s="23">
        <f>D38*$I$81</f>
        <v>1155686.3999999999</v>
      </c>
      <c r="E81" s="23">
        <f t="shared" ref="E81:H81" si="23">E38*$I$81</f>
        <v>1213470.72</v>
      </c>
      <c r="F81" s="23">
        <f t="shared" si="23"/>
        <v>1274144.2560000001</v>
      </c>
      <c r="G81" s="23">
        <f t="shared" si="23"/>
        <v>1337851.4687999999</v>
      </c>
      <c r="H81" s="23">
        <f t="shared" si="23"/>
        <v>1404744.0422399999</v>
      </c>
      <c r="I81" s="370">
        <v>240</v>
      </c>
    </row>
    <row r="82" spans="1:9" ht="17.100000000000001" customHeight="1">
      <c r="A82" s="14">
        <v>2</v>
      </c>
      <c r="B82" s="21" t="s">
        <v>10</v>
      </c>
      <c r="C82" s="14" t="s">
        <v>45</v>
      </c>
      <c r="D82" s="23">
        <f>D39*$I$82</f>
        <v>674150.39999999991</v>
      </c>
      <c r="E82" s="23">
        <f t="shared" ref="E82:H82" si="24">E39*$I$82</f>
        <v>707857.91999999993</v>
      </c>
      <c r="F82" s="23">
        <f t="shared" si="24"/>
        <v>743250.81599999999</v>
      </c>
      <c r="G82" s="23">
        <f t="shared" si="24"/>
        <v>780413.35679999995</v>
      </c>
      <c r="H82" s="23">
        <f t="shared" si="24"/>
        <v>819434.02463999996</v>
      </c>
      <c r="I82" s="370">
        <v>280</v>
      </c>
    </row>
    <row r="83" spans="1:9" ht="17.100000000000001" customHeight="1">
      <c r="A83" s="14">
        <v>3</v>
      </c>
      <c r="B83" s="21" t="s">
        <v>11</v>
      </c>
      <c r="C83" s="14" t="s">
        <v>45</v>
      </c>
      <c r="D83" s="23">
        <f>D40*$I$83</f>
        <v>224716.80000000002</v>
      </c>
      <c r="E83" s="23">
        <f t="shared" ref="E83:H83" si="25">E40*$I$83</f>
        <v>235952.64000000001</v>
      </c>
      <c r="F83" s="23">
        <f t="shared" si="25"/>
        <v>247750.27200000003</v>
      </c>
      <c r="G83" s="23">
        <f t="shared" si="25"/>
        <v>260137.78560000003</v>
      </c>
      <c r="H83" s="23">
        <f t="shared" si="25"/>
        <v>273144.67488000006</v>
      </c>
      <c r="I83" s="370">
        <v>280</v>
      </c>
    </row>
    <row r="84" spans="1:9" ht="17.100000000000001" customHeight="1">
      <c r="A84" s="19" t="s">
        <v>43</v>
      </c>
      <c r="B84" s="20" t="s">
        <v>44</v>
      </c>
      <c r="C84" s="14"/>
      <c r="D84" s="23"/>
      <c r="E84" s="23"/>
      <c r="F84" s="23"/>
      <c r="G84" s="23"/>
      <c r="H84" s="23"/>
      <c r="I84" s="370"/>
    </row>
    <row r="85" spans="1:9" ht="17.100000000000001" customHeight="1">
      <c r="A85" s="14">
        <v>1</v>
      </c>
      <c r="B85" s="21" t="s">
        <v>24</v>
      </c>
      <c r="C85" s="14" t="s">
        <v>45</v>
      </c>
      <c r="D85" s="23">
        <f>D42*$I$85</f>
        <v>674150.39999999991</v>
      </c>
      <c r="E85" s="23">
        <f t="shared" ref="E85:H85" si="26">E42*$I$85</f>
        <v>707857.91999999993</v>
      </c>
      <c r="F85" s="23">
        <f t="shared" si="26"/>
        <v>743250.81599999999</v>
      </c>
      <c r="G85" s="23">
        <f t="shared" si="26"/>
        <v>780413.35679999995</v>
      </c>
      <c r="H85" s="23">
        <f t="shared" si="26"/>
        <v>819434.02463999996</v>
      </c>
      <c r="I85" s="370">
        <v>280</v>
      </c>
    </row>
    <row r="86" spans="1:9" ht="17.100000000000001" customHeight="1">
      <c r="A86" s="14">
        <v>2</v>
      </c>
      <c r="B86" s="21" t="s">
        <v>25</v>
      </c>
      <c r="C86" s="14" t="s">
        <v>45</v>
      </c>
      <c r="D86" s="23">
        <f>D43*$I$86</f>
        <v>513638.40000000002</v>
      </c>
      <c r="E86" s="23">
        <f t="shared" ref="E86:H86" si="27">E43*$I$86</f>
        <v>539320.32000000007</v>
      </c>
      <c r="F86" s="23">
        <f t="shared" si="27"/>
        <v>566286.33600000013</v>
      </c>
      <c r="G86" s="23">
        <f t="shared" si="27"/>
        <v>594600.65280000004</v>
      </c>
      <c r="H86" s="23">
        <f t="shared" si="27"/>
        <v>624330.68544000015</v>
      </c>
      <c r="I86" s="370">
        <v>320</v>
      </c>
    </row>
    <row r="87" spans="1:9" ht="17.100000000000001" customHeight="1">
      <c r="A87" s="14">
        <v>3</v>
      </c>
      <c r="B87" s="21" t="s">
        <v>26</v>
      </c>
      <c r="C87" s="14" t="s">
        <v>45</v>
      </c>
      <c r="D87" s="23">
        <f>D44*$I$87</f>
        <v>770457.59999999998</v>
      </c>
      <c r="E87" s="23">
        <f t="shared" ref="E87:H87" si="28">E44*$I$87</f>
        <v>808980.47999999998</v>
      </c>
      <c r="F87" s="23">
        <f t="shared" si="28"/>
        <v>849429.50399999996</v>
      </c>
      <c r="G87" s="23">
        <f t="shared" si="28"/>
        <v>891900.97919999994</v>
      </c>
      <c r="H87" s="23">
        <f t="shared" si="28"/>
        <v>936496.02815999999</v>
      </c>
      <c r="I87" s="370">
        <v>320</v>
      </c>
    </row>
    <row r="88" spans="1:9" ht="17.100000000000001" customHeight="1">
      <c r="A88" s="14">
        <v>4</v>
      </c>
      <c r="B88" s="21" t="s">
        <v>27</v>
      </c>
      <c r="C88" s="14" t="s">
        <v>45</v>
      </c>
      <c r="D88" s="23">
        <f>D45*$I$88</f>
        <v>561792</v>
      </c>
      <c r="E88" s="23">
        <f t="shared" ref="E88:H88" si="29">E45*$I$88</f>
        <v>589881.60000000009</v>
      </c>
      <c r="F88" s="23">
        <f t="shared" si="29"/>
        <v>619375.68000000005</v>
      </c>
      <c r="G88" s="23">
        <f t="shared" si="29"/>
        <v>650344.46400000015</v>
      </c>
      <c r="H88" s="23">
        <f t="shared" si="29"/>
        <v>682861.68720000016</v>
      </c>
      <c r="I88" s="370">
        <v>350</v>
      </c>
    </row>
    <row r="89" spans="1:9" ht="17.100000000000001" customHeight="1">
      <c r="A89" s="289" t="s">
        <v>125</v>
      </c>
      <c r="B89" s="292" t="s">
        <v>507</v>
      </c>
      <c r="C89" s="176" t="s">
        <v>70</v>
      </c>
      <c r="D89" s="23">
        <f>12*I89</f>
        <v>240000</v>
      </c>
      <c r="E89" s="23">
        <f>D89</f>
        <v>240000</v>
      </c>
      <c r="F89" s="23">
        <f t="shared" ref="F89:H89" si="30">E89</f>
        <v>240000</v>
      </c>
      <c r="G89" s="23">
        <f t="shared" si="30"/>
        <v>240000</v>
      </c>
      <c r="H89" s="23">
        <f t="shared" si="30"/>
        <v>240000</v>
      </c>
      <c r="I89" s="371">
        <v>20000</v>
      </c>
    </row>
    <row r="90" spans="1:9" ht="17.100000000000001" customHeight="1">
      <c r="A90" s="210"/>
      <c r="B90" s="209" t="s">
        <v>49</v>
      </c>
      <c r="C90" s="210"/>
      <c r="D90" s="211">
        <f>SUM(D81:D89)</f>
        <v>4814592</v>
      </c>
      <c r="E90" s="211">
        <f t="shared" ref="E90:H90" si="31">SUM(E81:E89)</f>
        <v>5043321.5999999996</v>
      </c>
      <c r="F90" s="211">
        <f t="shared" si="31"/>
        <v>5283487.68</v>
      </c>
      <c r="G90" s="211">
        <f t="shared" si="31"/>
        <v>5535662.0640000012</v>
      </c>
      <c r="H90" s="211">
        <f t="shared" si="31"/>
        <v>5800445.1672</v>
      </c>
      <c r="I90" s="211"/>
    </row>
    <row r="91" spans="1:9" ht="17.100000000000001" customHeight="1"/>
    <row r="92" spans="1:9" ht="17.100000000000001" customHeight="1">
      <c r="G92" s="29" t="s">
        <v>60</v>
      </c>
      <c r="H92" s="30" t="s">
        <v>61</v>
      </c>
    </row>
    <row r="93" spans="1:9" ht="17.100000000000001" customHeight="1">
      <c r="A93" s="19" t="s">
        <v>1</v>
      </c>
      <c r="B93" s="19" t="s">
        <v>2</v>
      </c>
      <c r="C93" s="19" t="s">
        <v>3</v>
      </c>
      <c r="D93" s="19" t="s">
        <v>50</v>
      </c>
      <c r="E93" s="19" t="s">
        <v>51</v>
      </c>
      <c r="F93" s="19" t="s">
        <v>52</v>
      </c>
      <c r="G93" s="12" t="s">
        <v>53</v>
      </c>
      <c r="H93" s="13" t="s">
        <v>54</v>
      </c>
      <c r="I93" s="372" t="s">
        <v>508</v>
      </c>
    </row>
    <row r="94" spans="1:9" ht="17.100000000000001" customHeight="1">
      <c r="A94" s="19" t="s">
        <v>38</v>
      </c>
      <c r="B94" s="19" t="s">
        <v>39</v>
      </c>
      <c r="C94" s="19" t="s">
        <v>40</v>
      </c>
      <c r="D94" s="19">
        <v>6</v>
      </c>
      <c r="E94" s="19">
        <v>7</v>
      </c>
      <c r="F94" s="19">
        <v>8</v>
      </c>
      <c r="G94" s="19">
        <v>9</v>
      </c>
      <c r="H94" s="13">
        <v>10</v>
      </c>
      <c r="I94" s="373"/>
    </row>
    <row r="95" spans="1:9" ht="17.100000000000001" customHeight="1">
      <c r="A95" s="19" t="s">
        <v>41</v>
      </c>
      <c r="B95" s="20" t="s">
        <v>42</v>
      </c>
      <c r="C95" s="14"/>
      <c r="D95" s="14"/>
      <c r="E95" s="15"/>
      <c r="F95" s="15"/>
      <c r="G95" s="18"/>
      <c r="H95" s="17"/>
      <c r="I95" s="15"/>
    </row>
    <row r="96" spans="1:9" ht="17.100000000000001" customHeight="1">
      <c r="A96" s="14">
        <v>1</v>
      </c>
      <c r="B96" s="21" t="s">
        <v>9</v>
      </c>
      <c r="C96" s="14" t="s">
        <v>45</v>
      </c>
      <c r="D96" s="23">
        <f>D52*$I$96</f>
        <v>1490292.9544124161</v>
      </c>
      <c r="E96" s="23">
        <f t="shared" ref="E96:H96" si="32">E52*$I$96</f>
        <v>1535001.7430447887</v>
      </c>
      <c r="F96" s="23">
        <f t="shared" si="32"/>
        <v>1581051.7953361326</v>
      </c>
      <c r="G96" s="23">
        <f t="shared" si="32"/>
        <v>1628483.3491962166</v>
      </c>
      <c r="H96" s="23">
        <f t="shared" si="32"/>
        <v>1677337.8496721033</v>
      </c>
      <c r="I96" s="370">
        <f>I81*(1+$D$12)</f>
        <v>247.20000000000002</v>
      </c>
    </row>
    <row r="97" spans="1:9" ht="17.100000000000001" customHeight="1">
      <c r="A97" s="14">
        <v>2</v>
      </c>
      <c r="B97" s="21" t="s">
        <v>10</v>
      </c>
      <c r="C97" s="14" t="s">
        <v>45</v>
      </c>
      <c r="D97" s="23">
        <f>D53*$I$97</f>
        <v>869337.55674057617</v>
      </c>
      <c r="E97" s="23">
        <f t="shared" ref="E97:H97" si="33">E53*$I$97</f>
        <v>895417.68344279355</v>
      </c>
      <c r="F97" s="23">
        <f t="shared" si="33"/>
        <v>922280.21394607739</v>
      </c>
      <c r="G97" s="23">
        <f t="shared" si="33"/>
        <v>949948.62036445981</v>
      </c>
      <c r="H97" s="23">
        <f t="shared" si="33"/>
        <v>978447.07897539355</v>
      </c>
      <c r="I97" s="370">
        <f>I82*(1+$D$12)</f>
        <v>288.40000000000003</v>
      </c>
    </row>
    <row r="98" spans="1:9" ht="17.100000000000001" customHeight="1">
      <c r="A98" s="14">
        <v>3</v>
      </c>
      <c r="B98" s="21" t="s">
        <v>11</v>
      </c>
      <c r="C98" s="14" t="s">
        <v>45</v>
      </c>
      <c r="D98" s="23">
        <f>D54*$I$98</f>
        <v>289779.18558019208</v>
      </c>
      <c r="E98" s="23">
        <f t="shared" ref="E98:H98" si="34">E54*$I$98</f>
        <v>298472.56114759791</v>
      </c>
      <c r="F98" s="23">
        <f t="shared" si="34"/>
        <v>307426.73798202584</v>
      </c>
      <c r="G98" s="23">
        <f t="shared" si="34"/>
        <v>316649.5401214867</v>
      </c>
      <c r="H98" s="23">
        <f t="shared" si="34"/>
        <v>326149.0263251313</v>
      </c>
      <c r="I98" s="370">
        <f>I83*(1+$D$12)</f>
        <v>288.40000000000003</v>
      </c>
    </row>
    <row r="99" spans="1:9" ht="17.100000000000001" customHeight="1">
      <c r="A99" s="19" t="s">
        <v>43</v>
      </c>
      <c r="B99" s="20" t="s">
        <v>44</v>
      </c>
      <c r="C99" s="14"/>
      <c r="D99" s="23"/>
      <c r="E99" s="23"/>
      <c r="F99" s="23"/>
      <c r="G99" s="23"/>
      <c r="H99" s="23"/>
      <c r="I99" s="370"/>
    </row>
    <row r="100" spans="1:9" ht="17.100000000000001" customHeight="1">
      <c r="A100" s="14">
        <v>1</v>
      </c>
      <c r="B100" s="21" t="s">
        <v>24</v>
      </c>
      <c r="C100" s="14" t="s">
        <v>45</v>
      </c>
      <c r="D100" s="23">
        <f>D56*$I$100</f>
        <v>869337.55674057617</v>
      </c>
      <c r="E100" s="23">
        <f t="shared" ref="E100:H100" si="35">E56*$I$100</f>
        <v>895417.68344279355</v>
      </c>
      <c r="F100" s="23">
        <f t="shared" si="35"/>
        <v>922280.21394607739</v>
      </c>
      <c r="G100" s="23">
        <f t="shared" si="35"/>
        <v>949948.62036445981</v>
      </c>
      <c r="H100" s="23">
        <f t="shared" si="35"/>
        <v>978447.07897539355</v>
      </c>
      <c r="I100" s="370">
        <f>I85*(1+$D$12)</f>
        <v>288.40000000000003</v>
      </c>
    </row>
    <row r="101" spans="1:9" ht="17.100000000000001" customHeight="1">
      <c r="A101" s="14">
        <v>2</v>
      </c>
      <c r="B101" s="21" t="s">
        <v>25</v>
      </c>
      <c r="C101" s="14" t="s">
        <v>45</v>
      </c>
      <c r="D101" s="23">
        <f>D57*$I$101</f>
        <v>662352.42418329616</v>
      </c>
      <c r="E101" s="23">
        <f t="shared" ref="E101:H101" si="36">E57*$I$101</f>
        <v>682222.9969087952</v>
      </c>
      <c r="F101" s="23">
        <f t="shared" si="36"/>
        <v>702689.68681605905</v>
      </c>
      <c r="G101" s="23">
        <f t="shared" si="36"/>
        <v>723770.3774205409</v>
      </c>
      <c r="H101" s="23">
        <f t="shared" si="36"/>
        <v>745483.48874315713</v>
      </c>
      <c r="I101" s="370">
        <f>I86*(1+$D$12)</f>
        <v>329.6</v>
      </c>
    </row>
    <row r="102" spans="1:9" ht="17.100000000000001" customHeight="1">
      <c r="A102" s="14">
        <v>3</v>
      </c>
      <c r="B102" s="21" t="s">
        <v>26</v>
      </c>
      <c r="C102" s="14" t="s">
        <v>45</v>
      </c>
      <c r="D102" s="23">
        <f>D58*$I$102</f>
        <v>993528.63627494418</v>
      </c>
      <c r="E102" s="23">
        <f t="shared" ref="E102:H102" si="37">E58*$I$102</f>
        <v>1023334.4953631925</v>
      </c>
      <c r="F102" s="23">
        <f t="shared" si="37"/>
        <v>1054034.5302240883</v>
      </c>
      <c r="G102" s="23">
        <f t="shared" si="37"/>
        <v>1085655.5661308111</v>
      </c>
      <c r="H102" s="23">
        <f t="shared" si="37"/>
        <v>1118225.2331147355</v>
      </c>
      <c r="I102" s="370">
        <f>I87*(1+$D$12)</f>
        <v>329.6</v>
      </c>
    </row>
    <row r="103" spans="1:9" ht="17.100000000000001" customHeight="1">
      <c r="A103" s="14">
        <v>4</v>
      </c>
      <c r="B103" s="21" t="s">
        <v>27</v>
      </c>
      <c r="C103" s="14" t="s">
        <v>45</v>
      </c>
      <c r="D103" s="23">
        <f>D59*$I$103</f>
        <v>724447.96395048022</v>
      </c>
      <c r="E103" s="23">
        <f t="shared" ref="E103:H103" si="38">E59*$I$103</f>
        <v>746181.40286899463</v>
      </c>
      <c r="F103" s="23">
        <f t="shared" si="38"/>
        <v>768566.84495506459</v>
      </c>
      <c r="G103" s="23">
        <f t="shared" si="38"/>
        <v>791623.85030371661</v>
      </c>
      <c r="H103" s="23">
        <f t="shared" si="38"/>
        <v>815372.56581282814</v>
      </c>
      <c r="I103" s="370">
        <f>I88*(1+$D$12)</f>
        <v>360.5</v>
      </c>
    </row>
    <row r="104" spans="1:9" ht="17.100000000000001" customHeight="1">
      <c r="A104" s="289" t="s">
        <v>125</v>
      </c>
      <c r="B104" s="292" t="s">
        <v>507</v>
      </c>
      <c r="C104" s="176" t="s">
        <v>70</v>
      </c>
      <c r="D104" s="23">
        <f>12*I104</f>
        <v>264000</v>
      </c>
      <c r="E104" s="23">
        <f>D104</f>
        <v>264000</v>
      </c>
      <c r="F104" s="23">
        <f t="shared" ref="F104:H104" si="39">E104</f>
        <v>264000</v>
      </c>
      <c r="G104" s="23">
        <f t="shared" si="39"/>
        <v>264000</v>
      </c>
      <c r="H104" s="23">
        <f t="shared" si="39"/>
        <v>264000</v>
      </c>
      <c r="I104" s="370">
        <f>I89*(1+$D$13)</f>
        <v>22000</v>
      </c>
    </row>
    <row r="105" spans="1:9" ht="17.100000000000001" customHeight="1">
      <c r="A105" s="210"/>
      <c r="B105" s="209" t="s">
        <v>49</v>
      </c>
      <c r="C105" s="210"/>
      <c r="D105" s="211">
        <f>SUM(D96:D104)</f>
        <v>6163076.277882481</v>
      </c>
      <c r="E105" s="211">
        <f t="shared" ref="E105:H105" si="40">SUM(E96:E104)</f>
        <v>6340048.5662189564</v>
      </c>
      <c r="F105" s="211">
        <f t="shared" si="40"/>
        <v>6522330.0232055252</v>
      </c>
      <c r="G105" s="211">
        <f t="shared" si="40"/>
        <v>6710079.923901692</v>
      </c>
      <c r="H105" s="211">
        <f t="shared" si="40"/>
        <v>6903462.3216187423</v>
      </c>
      <c r="I105" s="211"/>
    </row>
    <row r="106" spans="1:9" ht="17.100000000000001" customHeight="1"/>
    <row r="107" spans="1:9" ht="17.100000000000001" customHeight="1">
      <c r="G107" s="29" t="s">
        <v>60</v>
      </c>
      <c r="H107" s="30" t="s">
        <v>61</v>
      </c>
    </row>
    <row r="108" spans="1:9" ht="17.100000000000001" customHeight="1">
      <c r="A108" s="19" t="s">
        <v>1</v>
      </c>
      <c r="B108" s="19" t="s">
        <v>2</v>
      </c>
      <c r="C108" s="19" t="s">
        <v>3</v>
      </c>
      <c r="D108" s="19" t="s">
        <v>55</v>
      </c>
      <c r="E108" s="19" t="s">
        <v>56</v>
      </c>
      <c r="F108" s="19" t="s">
        <v>57</v>
      </c>
      <c r="G108" s="12" t="s">
        <v>58</v>
      </c>
      <c r="H108" s="13" t="s">
        <v>59</v>
      </c>
      <c r="I108" s="372" t="s">
        <v>508</v>
      </c>
    </row>
    <row r="109" spans="1:9" ht="17.100000000000001" customHeight="1">
      <c r="A109" s="19" t="s">
        <v>38</v>
      </c>
      <c r="B109" s="19" t="s">
        <v>39</v>
      </c>
      <c r="C109" s="19" t="s">
        <v>40</v>
      </c>
      <c r="D109" s="19">
        <v>11</v>
      </c>
      <c r="E109" s="19">
        <v>12</v>
      </c>
      <c r="F109" s="19">
        <v>13</v>
      </c>
      <c r="G109" s="19">
        <v>14</v>
      </c>
      <c r="H109" s="13">
        <v>15</v>
      </c>
      <c r="I109" s="373"/>
    </row>
    <row r="110" spans="1:9" ht="17.100000000000001" customHeight="1">
      <c r="A110" s="19" t="s">
        <v>41</v>
      </c>
      <c r="B110" s="20" t="s">
        <v>42</v>
      </c>
      <c r="C110" s="14"/>
      <c r="D110" s="14"/>
      <c r="E110" s="15"/>
      <c r="F110" s="15"/>
      <c r="G110" s="18"/>
      <c r="H110" s="17"/>
      <c r="I110" s="15"/>
    </row>
    <row r="111" spans="1:9" ht="17.100000000000001" customHeight="1">
      <c r="A111" s="14">
        <v>1</v>
      </c>
      <c r="B111" s="21" t="s">
        <v>9</v>
      </c>
      <c r="C111" s="14" t="s">
        <v>45</v>
      </c>
      <c r="D111" s="23">
        <f>D66*$I$111</f>
        <v>1779487.7247171344</v>
      </c>
      <c r="E111" s="23">
        <f t="shared" ref="E111:H111" si="41">E66*$I$111</f>
        <v>1832872.3564586486</v>
      </c>
      <c r="F111" s="23">
        <f t="shared" si="41"/>
        <v>1887858.5271524079</v>
      </c>
      <c r="G111" s="23">
        <f t="shared" si="41"/>
        <v>1944494.2829669802</v>
      </c>
      <c r="H111" s="23">
        <f t="shared" si="41"/>
        <v>2002829.1114559898</v>
      </c>
      <c r="I111" s="370">
        <f>I96*(1+$D$12)</f>
        <v>254.61600000000001</v>
      </c>
    </row>
    <row r="112" spans="1:9" ht="17.100000000000001" customHeight="1">
      <c r="A112" s="14">
        <v>2</v>
      </c>
      <c r="B112" s="21" t="s">
        <v>10</v>
      </c>
      <c r="C112" s="14" t="s">
        <v>45</v>
      </c>
      <c r="D112" s="23">
        <f>D67*$I$112</f>
        <v>1038034.5060849951</v>
      </c>
      <c r="E112" s="23">
        <f t="shared" ref="E112:H112" si="42">E67*$I$112</f>
        <v>1069175.541267545</v>
      </c>
      <c r="F112" s="23">
        <f t="shared" si="42"/>
        <v>1101250.8075055713</v>
      </c>
      <c r="G112" s="23">
        <f t="shared" si="42"/>
        <v>1134288.3317307385</v>
      </c>
      <c r="H112" s="23">
        <f t="shared" si="42"/>
        <v>1168316.9816826608</v>
      </c>
      <c r="I112" s="370">
        <f>I97*(1+$D$12)</f>
        <v>297.05200000000002</v>
      </c>
    </row>
    <row r="113" spans="1:9" ht="17.100000000000001" customHeight="1">
      <c r="A113" s="14">
        <v>3</v>
      </c>
      <c r="B113" s="21" t="s">
        <v>11</v>
      </c>
      <c r="C113" s="14" t="s">
        <v>45</v>
      </c>
      <c r="D113" s="23">
        <f>D68*$I$113</f>
        <v>346011.5020283318</v>
      </c>
      <c r="E113" s="23">
        <f t="shared" ref="E113:H113" si="43">E68*$I$113</f>
        <v>356391.84708918177</v>
      </c>
      <c r="F113" s="23">
        <f t="shared" si="43"/>
        <v>367083.60250185727</v>
      </c>
      <c r="G113" s="23">
        <f t="shared" si="43"/>
        <v>378096.11057691299</v>
      </c>
      <c r="H113" s="23">
        <f t="shared" si="43"/>
        <v>389438.99389422045</v>
      </c>
      <c r="I113" s="370">
        <f>I98*(1+$D$12)</f>
        <v>297.05200000000002</v>
      </c>
    </row>
    <row r="114" spans="1:9" ht="17.100000000000001" customHeight="1">
      <c r="A114" s="19" t="s">
        <v>43</v>
      </c>
      <c r="B114" s="20" t="s">
        <v>44</v>
      </c>
      <c r="C114" s="14"/>
      <c r="D114" s="23"/>
      <c r="E114" s="23"/>
      <c r="F114" s="23"/>
      <c r="G114" s="23"/>
      <c r="H114" s="23"/>
      <c r="I114" s="370"/>
    </row>
    <row r="115" spans="1:9" ht="17.100000000000001" customHeight="1">
      <c r="A115" s="14">
        <v>1</v>
      </c>
      <c r="B115" s="21" t="s">
        <v>24</v>
      </c>
      <c r="C115" s="14" t="s">
        <v>45</v>
      </c>
      <c r="D115" s="23">
        <f>D70*$I$115</f>
        <v>1038034.5060849951</v>
      </c>
      <c r="E115" s="23">
        <f t="shared" ref="E115:H115" si="44">E70*$I$115</f>
        <v>1069175.541267545</v>
      </c>
      <c r="F115" s="23">
        <f t="shared" si="44"/>
        <v>1101250.8075055713</v>
      </c>
      <c r="G115" s="23">
        <f t="shared" si="44"/>
        <v>1134288.3317307385</v>
      </c>
      <c r="H115" s="23">
        <f t="shared" si="44"/>
        <v>1168316.9816826608</v>
      </c>
      <c r="I115" s="370">
        <f>I100*(1+$D$12)</f>
        <v>297.05200000000002</v>
      </c>
    </row>
    <row r="116" spans="1:9" ht="17.100000000000001" customHeight="1">
      <c r="A116" s="14">
        <v>2</v>
      </c>
      <c r="B116" s="21" t="s">
        <v>25</v>
      </c>
      <c r="C116" s="14" t="s">
        <v>45</v>
      </c>
      <c r="D116" s="23">
        <f>D71*$I$116</f>
        <v>790883.43320761563</v>
      </c>
      <c r="E116" s="23">
        <f t="shared" ref="E116:H116" si="45">E71*$I$116</f>
        <v>814609.93620384415</v>
      </c>
      <c r="F116" s="23">
        <f t="shared" si="45"/>
        <v>839048.23428995954</v>
      </c>
      <c r="G116" s="23">
        <f t="shared" si="45"/>
        <v>864219.6813186584</v>
      </c>
      <c r="H116" s="23">
        <f t="shared" si="45"/>
        <v>890146.27175821818</v>
      </c>
      <c r="I116" s="370">
        <f>I101*(1+$D$12)</f>
        <v>339.48800000000006</v>
      </c>
    </row>
    <row r="117" spans="1:9" ht="17.100000000000001" customHeight="1">
      <c r="A117" s="14">
        <v>3</v>
      </c>
      <c r="B117" s="21" t="s">
        <v>26</v>
      </c>
      <c r="C117" s="14" t="s">
        <v>45</v>
      </c>
      <c r="D117" s="23">
        <f>D72*$I$117</f>
        <v>1186325.1498114232</v>
      </c>
      <c r="E117" s="23">
        <f t="shared" ref="E117:H117" si="46">E72*$I$117</f>
        <v>1221914.9043057659</v>
      </c>
      <c r="F117" s="23">
        <f t="shared" si="46"/>
        <v>1258572.3514349388</v>
      </c>
      <c r="G117" s="23">
        <f t="shared" si="46"/>
        <v>1296329.5219779869</v>
      </c>
      <c r="H117" s="23">
        <f t="shared" si="46"/>
        <v>1335219.4076373265</v>
      </c>
      <c r="I117" s="370">
        <f>I102*(1+$D$12)</f>
        <v>339.48800000000006</v>
      </c>
    </row>
    <row r="118" spans="1:9" ht="17.100000000000001" customHeight="1">
      <c r="A118" s="14">
        <v>4</v>
      </c>
      <c r="B118" s="21" t="s">
        <v>27</v>
      </c>
      <c r="C118" s="14" t="s">
        <v>45</v>
      </c>
      <c r="D118" s="23">
        <f>D73*$I$118</f>
        <v>865028.75507082941</v>
      </c>
      <c r="E118" s="23">
        <f t="shared" ref="E118:H118" si="47">E73*$I$118</f>
        <v>890979.61772295437</v>
      </c>
      <c r="F118" s="23">
        <f t="shared" si="47"/>
        <v>917709.00625464309</v>
      </c>
      <c r="G118" s="23">
        <f t="shared" si="47"/>
        <v>945240.27644228248</v>
      </c>
      <c r="H118" s="23">
        <f t="shared" si="47"/>
        <v>973597.48473555094</v>
      </c>
      <c r="I118" s="370">
        <f>I103*(1+$D$12)</f>
        <v>371.315</v>
      </c>
    </row>
    <row r="119" spans="1:9" ht="17.100000000000001" customHeight="1">
      <c r="A119" s="289" t="s">
        <v>125</v>
      </c>
      <c r="B119" s="292" t="s">
        <v>507</v>
      </c>
      <c r="C119" s="176" t="s">
        <v>70</v>
      </c>
      <c r="D119" s="23">
        <f>12*I119</f>
        <v>290400.00000000006</v>
      </c>
      <c r="E119" s="23">
        <f>D119</f>
        <v>290400.00000000006</v>
      </c>
      <c r="F119" s="23">
        <f t="shared" ref="F119:H119" si="48">E119</f>
        <v>290400.00000000006</v>
      </c>
      <c r="G119" s="23">
        <f t="shared" si="48"/>
        <v>290400.00000000006</v>
      </c>
      <c r="H119" s="23">
        <f t="shared" si="48"/>
        <v>290400.00000000006</v>
      </c>
      <c r="I119" s="370">
        <f>I104*(1+$D$13)</f>
        <v>24200.000000000004</v>
      </c>
    </row>
    <row r="120" spans="1:9" ht="17.100000000000001" customHeight="1">
      <c r="A120" s="210"/>
      <c r="B120" s="209" t="s">
        <v>49</v>
      </c>
      <c r="C120" s="210"/>
      <c r="D120" s="211">
        <f>SUM(D111:D119)</f>
        <v>7334205.5770053249</v>
      </c>
      <c r="E120" s="211">
        <f t="shared" ref="E120:H120" si="49">SUM(E111:E119)</f>
        <v>7545519.7443154845</v>
      </c>
      <c r="F120" s="211">
        <f t="shared" si="49"/>
        <v>7763173.3366449494</v>
      </c>
      <c r="G120" s="211">
        <f t="shared" si="49"/>
        <v>7987356.5367442984</v>
      </c>
      <c r="H120" s="211">
        <f t="shared" si="49"/>
        <v>8218265.2328466279</v>
      </c>
      <c r="I120" s="211"/>
    </row>
    <row r="122" spans="1:9" ht="18" customHeight="1">
      <c r="A122" s="314" t="s">
        <v>66</v>
      </c>
      <c r="B122" s="314"/>
      <c r="C122" s="314"/>
      <c r="D122" s="314"/>
      <c r="E122" s="314"/>
      <c r="F122" s="314"/>
      <c r="G122" s="314"/>
      <c r="H122" s="314"/>
    </row>
    <row r="123" spans="1:9" ht="18" customHeight="1">
      <c r="A123" s="7" t="s">
        <v>67</v>
      </c>
    </row>
    <row r="124" spans="1:9" ht="18" customHeight="1">
      <c r="A124" s="7" t="s">
        <v>63</v>
      </c>
    </row>
    <row r="125" spans="1:9" ht="18" customHeight="1">
      <c r="A125" s="8" t="s">
        <v>64</v>
      </c>
    </row>
    <row r="126" spans="1:9" ht="18" customHeight="1">
      <c r="A126" s="8" t="s">
        <v>65</v>
      </c>
      <c r="C126" s="31">
        <v>0.1</v>
      </c>
      <c r="D126" s="229" t="s">
        <v>340</v>
      </c>
    </row>
    <row r="127" spans="1:9" ht="18" customHeight="1">
      <c r="A127" s="8" t="s">
        <v>69</v>
      </c>
      <c r="C127" s="31">
        <v>0.215</v>
      </c>
      <c r="D127" s="8" t="s">
        <v>68</v>
      </c>
    </row>
    <row r="128" spans="1:9" ht="18" customHeight="1">
      <c r="A128" s="8" t="s">
        <v>71</v>
      </c>
      <c r="C128" s="2">
        <v>13</v>
      </c>
      <c r="D128" s="8" t="s">
        <v>70</v>
      </c>
    </row>
    <row r="129" spans="1:8" ht="18" customHeight="1">
      <c r="A129" s="8" t="s">
        <v>73</v>
      </c>
      <c r="C129" s="31">
        <v>0.03</v>
      </c>
      <c r="D129" s="8" t="s">
        <v>72</v>
      </c>
    </row>
    <row r="130" spans="1:8" ht="21.75" customHeight="1">
      <c r="A130" s="9" t="s">
        <v>96</v>
      </c>
      <c r="B130" s="9"/>
    </row>
    <row r="131" spans="1:8" ht="16.5" customHeight="1">
      <c r="A131" s="9"/>
      <c r="B131" s="9"/>
      <c r="G131" s="29" t="s">
        <v>60</v>
      </c>
      <c r="H131" s="30" t="s">
        <v>61</v>
      </c>
    </row>
    <row r="132" spans="1:8" ht="54" customHeight="1">
      <c r="A132" s="32" t="s">
        <v>1</v>
      </c>
      <c r="B132" s="32" t="s">
        <v>75</v>
      </c>
      <c r="C132" s="32" t="s">
        <v>74</v>
      </c>
      <c r="D132" s="32" t="s">
        <v>76</v>
      </c>
      <c r="E132" s="32" t="s">
        <v>77</v>
      </c>
      <c r="F132" s="33" t="s">
        <v>78</v>
      </c>
      <c r="G132" s="34" t="s">
        <v>79</v>
      </c>
      <c r="H132" s="35" t="s">
        <v>80</v>
      </c>
    </row>
    <row r="133" spans="1:8" ht="17.100000000000001" customHeight="1">
      <c r="A133" s="14">
        <v>1</v>
      </c>
      <c r="B133" s="22" t="s">
        <v>81</v>
      </c>
      <c r="C133" s="14">
        <v>1</v>
      </c>
      <c r="D133" s="36">
        <v>15000</v>
      </c>
      <c r="E133" s="36">
        <f>D133*10%</f>
        <v>1500</v>
      </c>
      <c r="F133" s="36">
        <f>D133+E133</f>
        <v>16500</v>
      </c>
      <c r="G133" s="36">
        <f>F133*$C$128*C133</f>
        <v>214500</v>
      </c>
      <c r="H133" s="36">
        <f>D133*12*$C$127*C133</f>
        <v>38700</v>
      </c>
    </row>
    <row r="134" spans="1:8" ht="17.100000000000001" customHeight="1">
      <c r="A134" s="14">
        <v>2</v>
      </c>
      <c r="B134" s="22" t="s">
        <v>82</v>
      </c>
      <c r="C134" s="14">
        <v>1</v>
      </c>
      <c r="D134" s="36">
        <v>10000</v>
      </c>
      <c r="E134" s="36">
        <f t="shared" ref="E134:E142" si="50">D134*10%</f>
        <v>1000</v>
      </c>
      <c r="F134" s="36">
        <f t="shared" ref="F134:F142" si="51">D134+E134</f>
        <v>11000</v>
      </c>
      <c r="G134" s="36">
        <f>F134*$C$128*C134</f>
        <v>143000</v>
      </c>
      <c r="H134" s="36">
        <f t="shared" ref="H134:H142" si="52">D134*12*$C$127*C134</f>
        <v>25800</v>
      </c>
    </row>
    <row r="135" spans="1:8" ht="17.100000000000001" customHeight="1">
      <c r="A135" s="14">
        <v>3</v>
      </c>
      <c r="B135" s="22" t="s">
        <v>83</v>
      </c>
      <c r="C135" s="14">
        <v>1</v>
      </c>
      <c r="D135" s="36">
        <v>7000</v>
      </c>
      <c r="E135" s="36">
        <f t="shared" si="50"/>
        <v>700</v>
      </c>
      <c r="F135" s="36">
        <f t="shared" si="51"/>
        <v>7700</v>
      </c>
      <c r="G135" s="36">
        <f t="shared" ref="G135:G142" si="53">F135*$C$128*C135</f>
        <v>100100</v>
      </c>
      <c r="H135" s="36">
        <f t="shared" si="52"/>
        <v>18060</v>
      </c>
    </row>
    <row r="136" spans="1:8" ht="17.100000000000001" customHeight="1">
      <c r="A136" s="14">
        <v>4</v>
      </c>
      <c r="B136" s="22" t="s">
        <v>84</v>
      </c>
      <c r="C136" s="14">
        <v>1</v>
      </c>
      <c r="D136" s="36">
        <v>5000</v>
      </c>
      <c r="E136" s="36">
        <f t="shared" si="50"/>
        <v>500</v>
      </c>
      <c r="F136" s="36">
        <f t="shared" si="51"/>
        <v>5500</v>
      </c>
      <c r="G136" s="36">
        <f t="shared" si="53"/>
        <v>71500</v>
      </c>
      <c r="H136" s="36">
        <f t="shared" si="52"/>
        <v>12900</v>
      </c>
    </row>
    <row r="137" spans="1:8" ht="17.100000000000001" customHeight="1">
      <c r="A137" s="176">
        <v>5</v>
      </c>
      <c r="B137" s="226" t="s">
        <v>481</v>
      </c>
      <c r="C137" s="176">
        <v>2</v>
      </c>
      <c r="D137" s="122">
        <v>5000</v>
      </c>
      <c r="E137" s="122">
        <f t="shared" si="50"/>
        <v>500</v>
      </c>
      <c r="F137" s="122">
        <f t="shared" si="51"/>
        <v>5500</v>
      </c>
      <c r="G137" s="122">
        <f t="shared" si="53"/>
        <v>143000</v>
      </c>
      <c r="H137" s="122">
        <f t="shared" si="52"/>
        <v>25800</v>
      </c>
    </row>
    <row r="138" spans="1:8" ht="17.100000000000001" customHeight="1">
      <c r="A138" s="14">
        <v>6</v>
      </c>
      <c r="B138" s="22" t="s">
        <v>85</v>
      </c>
      <c r="C138" s="14">
        <v>3</v>
      </c>
      <c r="D138" s="36">
        <v>5000</v>
      </c>
      <c r="E138" s="36">
        <f t="shared" si="50"/>
        <v>500</v>
      </c>
      <c r="F138" s="36">
        <f t="shared" si="51"/>
        <v>5500</v>
      </c>
      <c r="G138" s="36">
        <f t="shared" si="53"/>
        <v>214500</v>
      </c>
      <c r="H138" s="36">
        <f t="shared" si="52"/>
        <v>38700</v>
      </c>
    </row>
    <row r="139" spans="1:8" ht="17.100000000000001" customHeight="1">
      <c r="A139" s="14">
        <v>7</v>
      </c>
      <c r="B139" s="22" t="s">
        <v>86</v>
      </c>
      <c r="C139" s="14">
        <v>1</v>
      </c>
      <c r="D139" s="36">
        <v>7000</v>
      </c>
      <c r="E139" s="36">
        <f t="shared" si="50"/>
        <v>700</v>
      </c>
      <c r="F139" s="36">
        <f t="shared" si="51"/>
        <v>7700</v>
      </c>
      <c r="G139" s="36">
        <f t="shared" si="53"/>
        <v>100100</v>
      </c>
      <c r="H139" s="36">
        <f t="shared" si="52"/>
        <v>18060</v>
      </c>
    </row>
    <row r="140" spans="1:8" ht="17.100000000000001" customHeight="1">
      <c r="A140" s="14">
        <v>8</v>
      </c>
      <c r="B140" s="22" t="s">
        <v>87</v>
      </c>
      <c r="C140" s="14">
        <v>2</v>
      </c>
      <c r="D140" s="36">
        <v>10000</v>
      </c>
      <c r="E140" s="36">
        <f t="shared" si="50"/>
        <v>1000</v>
      </c>
      <c r="F140" s="36">
        <f t="shared" si="51"/>
        <v>11000</v>
      </c>
      <c r="G140" s="36">
        <f t="shared" si="53"/>
        <v>286000</v>
      </c>
      <c r="H140" s="36">
        <f t="shared" si="52"/>
        <v>51600</v>
      </c>
    </row>
    <row r="141" spans="1:8" ht="17.100000000000001" customHeight="1">
      <c r="A141" s="14">
        <v>9</v>
      </c>
      <c r="B141" s="22" t="s">
        <v>88</v>
      </c>
      <c r="C141" s="14">
        <v>6</v>
      </c>
      <c r="D141" s="36">
        <v>8000</v>
      </c>
      <c r="E141" s="36">
        <f t="shared" si="50"/>
        <v>800</v>
      </c>
      <c r="F141" s="36">
        <f t="shared" si="51"/>
        <v>8800</v>
      </c>
      <c r="G141" s="36">
        <f t="shared" si="53"/>
        <v>686400</v>
      </c>
      <c r="H141" s="36">
        <f t="shared" si="52"/>
        <v>123840</v>
      </c>
    </row>
    <row r="142" spans="1:8" ht="17.100000000000001" customHeight="1">
      <c r="A142" s="176">
        <v>10</v>
      </c>
      <c r="B142" s="226" t="s">
        <v>231</v>
      </c>
      <c r="C142" s="176">
        <v>2</v>
      </c>
      <c r="D142" s="122">
        <v>5000</v>
      </c>
      <c r="E142" s="122">
        <f t="shared" si="50"/>
        <v>500</v>
      </c>
      <c r="F142" s="122">
        <f t="shared" si="51"/>
        <v>5500</v>
      </c>
      <c r="G142" s="122">
        <f t="shared" si="53"/>
        <v>143000</v>
      </c>
      <c r="H142" s="122">
        <f t="shared" si="52"/>
        <v>25800</v>
      </c>
    </row>
    <row r="143" spans="1:8" ht="17.100000000000001" customHeight="1">
      <c r="A143" s="14"/>
      <c r="B143" s="19" t="s">
        <v>89</v>
      </c>
      <c r="C143" s="39">
        <f t="shared" ref="C143:H143" si="54">SUM(C133:C142)</f>
        <v>20</v>
      </c>
      <c r="D143" s="38">
        <f t="shared" si="54"/>
        <v>77000</v>
      </c>
      <c r="E143" s="38">
        <f t="shared" si="54"/>
        <v>7700</v>
      </c>
      <c r="F143" s="38">
        <f t="shared" si="54"/>
        <v>84700</v>
      </c>
      <c r="G143" s="38">
        <f t="shared" si="54"/>
        <v>2102100</v>
      </c>
      <c r="H143" s="38">
        <f t="shared" si="54"/>
        <v>379260</v>
      </c>
    </row>
    <row r="145" spans="1:9" ht="18.75" customHeight="1">
      <c r="A145" s="9" t="s">
        <v>97</v>
      </c>
    </row>
    <row r="146" spans="1:9" ht="16.5" customHeight="1">
      <c r="A146" s="9"/>
      <c r="G146" s="29" t="s">
        <v>60</v>
      </c>
      <c r="H146" s="30" t="s">
        <v>61</v>
      </c>
    </row>
    <row r="147" spans="1:9" ht="17.100000000000001" customHeight="1">
      <c r="A147" s="19" t="s">
        <v>1</v>
      </c>
      <c r="B147" s="316" t="s">
        <v>90</v>
      </c>
      <c r="C147" s="316"/>
      <c r="D147" s="19" t="s">
        <v>33</v>
      </c>
      <c r="E147" s="19" t="s">
        <v>34</v>
      </c>
      <c r="F147" s="19" t="s">
        <v>35</v>
      </c>
      <c r="G147" s="19" t="s">
        <v>36</v>
      </c>
      <c r="H147" s="12" t="s">
        <v>37</v>
      </c>
    </row>
    <row r="148" spans="1:9" ht="17.100000000000001" customHeight="1">
      <c r="A148" s="14">
        <v>1</v>
      </c>
      <c r="B148" s="317" t="s">
        <v>91</v>
      </c>
      <c r="C148" s="317"/>
      <c r="D148" s="144">
        <v>0</v>
      </c>
      <c r="E148" s="144">
        <f>C129</f>
        <v>0.03</v>
      </c>
      <c r="F148" s="144">
        <f>E148</f>
        <v>0.03</v>
      </c>
      <c r="G148" s="144">
        <f t="shared" ref="G148:H148" si="55">F148</f>
        <v>0.03</v>
      </c>
      <c r="H148" s="144">
        <f t="shared" si="55"/>
        <v>0.03</v>
      </c>
    </row>
    <row r="149" spans="1:9" ht="17.100000000000001" customHeight="1">
      <c r="A149" s="14">
        <v>2</v>
      </c>
      <c r="B149" s="317" t="s">
        <v>92</v>
      </c>
      <c r="C149" s="317"/>
      <c r="D149" s="42">
        <f>G143</f>
        <v>2102100</v>
      </c>
      <c r="E149" s="43">
        <f>D149*(1+E148)</f>
        <v>2165163</v>
      </c>
      <c r="F149" s="43">
        <f t="shared" ref="F149:H149" si="56">E149*(1+F148)</f>
        <v>2230117.89</v>
      </c>
      <c r="G149" s="43">
        <f t="shared" si="56"/>
        <v>2297021.4267000002</v>
      </c>
      <c r="H149" s="43">
        <f t="shared" si="56"/>
        <v>2365932.0695010005</v>
      </c>
      <c r="I149" s="37"/>
    </row>
    <row r="150" spans="1:9" ht="17.100000000000001" customHeight="1">
      <c r="A150" s="14">
        <v>3</v>
      </c>
      <c r="B150" s="317" t="s">
        <v>93</v>
      </c>
      <c r="C150" s="317"/>
      <c r="D150" s="42">
        <f>H143</f>
        <v>379260</v>
      </c>
      <c r="E150" s="43">
        <f>D150*(1+E148)</f>
        <v>390637.8</v>
      </c>
      <c r="F150" s="43">
        <f t="shared" ref="F150:H150" si="57">E150*(1+F148)</f>
        <v>402356.93400000001</v>
      </c>
      <c r="G150" s="43">
        <f t="shared" si="57"/>
        <v>414427.64202000003</v>
      </c>
      <c r="H150" s="43">
        <f t="shared" si="57"/>
        <v>426860.47128060006</v>
      </c>
      <c r="I150" s="37"/>
    </row>
    <row r="151" spans="1:9">
      <c r="B151" s="308"/>
      <c r="C151" s="308"/>
    </row>
    <row r="152" spans="1:9" ht="17.100000000000001" customHeight="1">
      <c r="A152" s="19" t="s">
        <v>1</v>
      </c>
      <c r="B152" s="316" t="s">
        <v>90</v>
      </c>
      <c r="C152" s="316"/>
      <c r="D152" s="19" t="s">
        <v>50</v>
      </c>
      <c r="E152" s="19" t="s">
        <v>51</v>
      </c>
      <c r="F152" s="19" t="s">
        <v>52</v>
      </c>
      <c r="G152" s="19" t="s">
        <v>53</v>
      </c>
      <c r="H152" s="12" t="s">
        <v>54</v>
      </c>
    </row>
    <row r="153" spans="1:9" ht="17.100000000000001" customHeight="1">
      <c r="A153" s="14">
        <v>1</v>
      </c>
      <c r="B153" s="317" t="s">
        <v>91</v>
      </c>
      <c r="C153" s="317"/>
      <c r="D153" s="144">
        <f>H148</f>
        <v>0.03</v>
      </c>
      <c r="E153" s="144">
        <f>D153</f>
        <v>0.03</v>
      </c>
      <c r="F153" s="144">
        <f t="shared" ref="F153:H153" si="58">E153</f>
        <v>0.03</v>
      </c>
      <c r="G153" s="144">
        <f t="shared" si="58"/>
        <v>0.03</v>
      </c>
      <c r="H153" s="144">
        <f t="shared" si="58"/>
        <v>0.03</v>
      </c>
    </row>
    <row r="154" spans="1:9" ht="17.100000000000001" customHeight="1">
      <c r="A154" s="14">
        <v>2</v>
      </c>
      <c r="B154" s="317" t="s">
        <v>92</v>
      </c>
      <c r="C154" s="317"/>
      <c r="D154" s="42">
        <f>H149*(1+D153)</f>
        <v>2436910.0315860305</v>
      </c>
      <c r="E154" s="42">
        <f>D154*(1+E153)</f>
        <v>2510017.3325336115</v>
      </c>
      <c r="F154" s="42">
        <f t="shared" ref="F154:H154" si="59">E154*(1+F153)</f>
        <v>2585317.8525096197</v>
      </c>
      <c r="G154" s="42">
        <f t="shared" si="59"/>
        <v>2662877.3880849085</v>
      </c>
      <c r="H154" s="42">
        <f t="shared" si="59"/>
        <v>2742763.7097274559</v>
      </c>
      <c r="I154" s="37"/>
    </row>
    <row r="155" spans="1:9" ht="17.100000000000001" customHeight="1">
      <c r="A155" s="14">
        <v>3</v>
      </c>
      <c r="B155" s="317" t="s">
        <v>93</v>
      </c>
      <c r="C155" s="317"/>
      <c r="D155" s="42">
        <f>H150*(1+D153)</f>
        <v>439666.28541901807</v>
      </c>
      <c r="E155" s="42">
        <f>D155*(1+E153)</f>
        <v>452856.2739815886</v>
      </c>
      <c r="F155" s="42">
        <f t="shared" ref="F155:H155" si="60">E155*(1+F153)</f>
        <v>466441.96220103628</v>
      </c>
      <c r="G155" s="42">
        <f t="shared" si="60"/>
        <v>480435.22106706735</v>
      </c>
      <c r="H155" s="42">
        <f t="shared" si="60"/>
        <v>494848.27769907936</v>
      </c>
      <c r="I155" s="37"/>
    </row>
    <row r="157" spans="1:9">
      <c r="A157" s="221" t="s">
        <v>1</v>
      </c>
      <c r="B157" s="316" t="s">
        <v>90</v>
      </c>
      <c r="C157" s="316"/>
      <c r="D157" s="221" t="s">
        <v>55</v>
      </c>
      <c r="E157" s="221" t="s">
        <v>56</v>
      </c>
      <c r="F157" s="221" t="s">
        <v>57</v>
      </c>
      <c r="G157" s="221" t="s">
        <v>58</v>
      </c>
      <c r="H157" s="221" t="s">
        <v>59</v>
      </c>
    </row>
    <row r="158" spans="1:9">
      <c r="A158" s="176">
        <v>1</v>
      </c>
      <c r="B158" s="317" t="s">
        <v>91</v>
      </c>
      <c r="C158" s="317"/>
      <c r="D158" s="144">
        <f>H153</f>
        <v>0.03</v>
      </c>
      <c r="E158" s="144">
        <f>D158</f>
        <v>0.03</v>
      </c>
      <c r="F158" s="144">
        <f t="shared" ref="F158:H158" si="61">E158</f>
        <v>0.03</v>
      </c>
      <c r="G158" s="144">
        <f t="shared" si="61"/>
        <v>0.03</v>
      </c>
      <c r="H158" s="144">
        <f t="shared" si="61"/>
        <v>0.03</v>
      </c>
    </row>
    <row r="159" spans="1:9">
      <c r="A159" s="176">
        <v>2</v>
      </c>
      <c r="B159" s="317" t="s">
        <v>92</v>
      </c>
      <c r="C159" s="317"/>
      <c r="D159" s="42">
        <f>H154*(1+D158)</f>
        <v>2825046.6210192796</v>
      </c>
      <c r="E159" s="42">
        <f>D159*(1+E158)</f>
        <v>2909798.0196498581</v>
      </c>
      <c r="F159" s="42">
        <f t="shared" ref="F159" si="62">E159*(1+F158)</f>
        <v>2997091.9602393541</v>
      </c>
      <c r="G159" s="42">
        <f t="shared" ref="G159" si="63">F159*(1+G158)</f>
        <v>3087004.719046535</v>
      </c>
      <c r="H159" s="42">
        <f t="shared" ref="H159" si="64">G159*(1+H158)</f>
        <v>3179614.860617931</v>
      </c>
    </row>
    <row r="160" spans="1:9">
      <c r="A160" s="176">
        <v>3</v>
      </c>
      <c r="B160" s="317" t="s">
        <v>93</v>
      </c>
      <c r="C160" s="317"/>
      <c r="D160" s="42">
        <f>H155*(1+D158)</f>
        <v>509693.72603005177</v>
      </c>
      <c r="E160" s="42">
        <f>D160*(1+E158)</f>
        <v>524984.53781095333</v>
      </c>
      <c r="F160" s="42">
        <f t="shared" ref="F160:H160" si="65">E160*(1+F158)</f>
        <v>540734.07394528191</v>
      </c>
      <c r="G160" s="42">
        <f t="shared" si="65"/>
        <v>556956.09616364038</v>
      </c>
      <c r="H160" s="42">
        <f t="shared" si="65"/>
        <v>573664.77904854959</v>
      </c>
    </row>
    <row r="162" spans="1:8">
      <c r="A162" s="84" t="s">
        <v>234</v>
      </c>
      <c r="B162" s="96"/>
      <c r="C162" s="96"/>
      <c r="D162" s="96"/>
    </row>
    <row r="163" spans="1:8">
      <c r="A163" s="318" t="s">
        <v>243</v>
      </c>
      <c r="B163" s="318"/>
      <c r="C163" s="318"/>
      <c r="D163" s="5">
        <v>0.03</v>
      </c>
      <c r="E163" s="308" t="s">
        <v>265</v>
      </c>
      <c r="F163" s="308"/>
      <c r="G163" s="308"/>
      <c r="H163" s="308"/>
    </row>
    <row r="164" spans="1:8">
      <c r="A164" s="318" t="s">
        <v>248</v>
      </c>
      <c r="B164" s="318"/>
      <c r="C164" s="318"/>
      <c r="D164" s="160">
        <v>0.02</v>
      </c>
      <c r="E164" s="308" t="s">
        <v>265</v>
      </c>
      <c r="F164" s="308"/>
      <c r="G164" s="308"/>
      <c r="H164" s="308"/>
    </row>
    <row r="165" spans="1:8">
      <c r="A165" s="104"/>
      <c r="B165" s="155"/>
      <c r="C165" s="155"/>
      <c r="D165" s="156"/>
      <c r="E165" s="157"/>
      <c r="F165" s="157"/>
      <c r="G165" s="157"/>
      <c r="H165" s="157"/>
    </row>
    <row r="166" spans="1:8">
      <c r="A166" s="331" t="s">
        <v>249</v>
      </c>
      <c r="B166" s="331"/>
      <c r="C166" s="331"/>
      <c r="D166" s="331"/>
      <c r="E166" s="331"/>
      <c r="F166" s="331"/>
      <c r="G166" s="331"/>
      <c r="H166" s="331"/>
    </row>
    <row r="167" spans="1:8">
      <c r="A167" s="104"/>
      <c r="B167" s="155"/>
      <c r="C167" s="155"/>
      <c r="D167" s="156"/>
      <c r="E167" s="157"/>
      <c r="F167" s="157"/>
      <c r="G167" s="82" t="s">
        <v>60</v>
      </c>
      <c r="H167" s="30" t="s">
        <v>61</v>
      </c>
    </row>
    <row r="168" spans="1:8">
      <c r="A168" s="319" t="s">
        <v>1</v>
      </c>
      <c r="B168" s="316" t="s">
        <v>90</v>
      </c>
      <c r="C168" s="316"/>
      <c r="D168" s="163" t="s">
        <v>33</v>
      </c>
      <c r="E168" s="164" t="s">
        <v>34</v>
      </c>
      <c r="F168" s="163" t="s">
        <v>35</v>
      </c>
      <c r="G168" s="164" t="s">
        <v>36</v>
      </c>
      <c r="H168" s="163" t="s">
        <v>37</v>
      </c>
    </row>
    <row r="169" spans="1:8">
      <c r="A169" s="319"/>
      <c r="B169" s="316" t="s">
        <v>94</v>
      </c>
      <c r="C169" s="316"/>
      <c r="D169" s="165">
        <v>1</v>
      </c>
      <c r="E169" s="166">
        <v>2</v>
      </c>
      <c r="F169" s="166">
        <v>3</v>
      </c>
      <c r="G169" s="166">
        <v>4</v>
      </c>
      <c r="H169" s="166">
        <v>5</v>
      </c>
    </row>
    <row r="170" spans="1:8">
      <c r="A170" s="95">
        <v>1</v>
      </c>
      <c r="B170" s="317" t="s">
        <v>250</v>
      </c>
      <c r="C170" s="317"/>
      <c r="D170" s="143">
        <f>D149</f>
        <v>2102100</v>
      </c>
      <c r="E170" s="143">
        <f t="shared" ref="E170:H170" si="66">E149</f>
        <v>2165163</v>
      </c>
      <c r="F170" s="143">
        <f t="shared" si="66"/>
        <v>2230117.89</v>
      </c>
      <c r="G170" s="143">
        <f t="shared" si="66"/>
        <v>2297021.4267000002</v>
      </c>
      <c r="H170" s="143">
        <f t="shared" si="66"/>
        <v>2365932.0695010005</v>
      </c>
    </row>
    <row r="171" spans="1:8">
      <c r="A171" s="95">
        <v>2</v>
      </c>
      <c r="B171" s="317" t="s">
        <v>251</v>
      </c>
      <c r="C171" s="317"/>
      <c r="D171" s="143">
        <f>D150</f>
        <v>379260</v>
      </c>
      <c r="E171" s="143">
        <f t="shared" ref="E171:H171" si="67">E150</f>
        <v>390637.8</v>
      </c>
      <c r="F171" s="143">
        <f t="shared" si="67"/>
        <v>402356.93400000001</v>
      </c>
      <c r="G171" s="143">
        <f t="shared" si="67"/>
        <v>414427.64202000003</v>
      </c>
      <c r="H171" s="143">
        <f t="shared" si="67"/>
        <v>426860.47128060006</v>
      </c>
    </row>
    <row r="172" spans="1:8">
      <c r="A172" s="95">
        <v>3</v>
      </c>
      <c r="B172" s="317" t="s">
        <v>252</v>
      </c>
      <c r="C172" s="317"/>
      <c r="D172" s="143">
        <f>$D$163*D90</f>
        <v>144437.75999999998</v>
      </c>
      <c r="E172" s="143">
        <f t="shared" ref="E172:H172" si="68">$D$163*E90</f>
        <v>151299.64799999999</v>
      </c>
      <c r="F172" s="143">
        <f t="shared" si="68"/>
        <v>158504.63039999999</v>
      </c>
      <c r="G172" s="143">
        <f t="shared" si="68"/>
        <v>166069.86192000002</v>
      </c>
      <c r="H172" s="143">
        <f t="shared" si="68"/>
        <v>174013.35501599999</v>
      </c>
    </row>
    <row r="173" spans="1:8">
      <c r="A173" s="95">
        <v>4</v>
      </c>
      <c r="B173" s="317" t="s">
        <v>258</v>
      </c>
      <c r="C173" s="317"/>
      <c r="D173" s="143">
        <f>$D$164*D90</f>
        <v>96291.839999999997</v>
      </c>
      <c r="E173" s="143">
        <f t="shared" ref="E173:H173" si="69">$D$164*E90</f>
        <v>100866.432</v>
      </c>
      <c r="F173" s="143">
        <f t="shared" si="69"/>
        <v>105669.7536</v>
      </c>
      <c r="G173" s="143">
        <f t="shared" si="69"/>
        <v>110713.24128000003</v>
      </c>
      <c r="H173" s="143">
        <f t="shared" si="69"/>
        <v>116008.90334400001</v>
      </c>
    </row>
    <row r="174" spans="1:8">
      <c r="A174" s="95"/>
      <c r="B174" s="316" t="s">
        <v>259</v>
      </c>
      <c r="C174" s="316"/>
      <c r="D174" s="167">
        <f>SUM(D170:D173)</f>
        <v>2722089.5999999996</v>
      </c>
      <c r="E174" s="28">
        <f>SUM(E170:E173)</f>
        <v>2807966.88</v>
      </c>
      <c r="F174" s="28">
        <f>SUM(F170:F173)</f>
        <v>2896649.2080000001</v>
      </c>
      <c r="G174" s="28">
        <f>SUM(G170:G173)</f>
        <v>2988232.1719200006</v>
      </c>
      <c r="H174" s="28">
        <f>SUM(H170:H173)</f>
        <v>3082814.7991416007</v>
      </c>
    </row>
    <row r="175" spans="1:8">
      <c r="A175" s="96"/>
      <c r="B175" s="96"/>
      <c r="C175" s="96"/>
      <c r="D175" s="96"/>
    </row>
    <row r="176" spans="1:8">
      <c r="A176" s="319" t="s">
        <v>1</v>
      </c>
      <c r="B176" s="316" t="s">
        <v>90</v>
      </c>
      <c r="C176" s="316"/>
      <c r="D176" s="163" t="s">
        <v>50</v>
      </c>
      <c r="E176" s="164" t="s">
        <v>51</v>
      </c>
      <c r="F176" s="163" t="s">
        <v>52</v>
      </c>
      <c r="G176" s="164" t="s">
        <v>53</v>
      </c>
      <c r="H176" s="163" t="s">
        <v>54</v>
      </c>
    </row>
    <row r="177" spans="1:8">
      <c r="A177" s="319"/>
      <c r="B177" s="316" t="s">
        <v>94</v>
      </c>
      <c r="C177" s="316"/>
      <c r="D177" s="165">
        <v>6</v>
      </c>
      <c r="E177" s="166">
        <v>7</v>
      </c>
      <c r="F177" s="165">
        <v>8</v>
      </c>
      <c r="G177" s="166">
        <v>9</v>
      </c>
      <c r="H177" s="165">
        <v>10</v>
      </c>
    </row>
    <row r="178" spans="1:8">
      <c r="A178" s="95">
        <v>1</v>
      </c>
      <c r="B178" s="317" t="s">
        <v>250</v>
      </c>
      <c r="C178" s="317"/>
      <c r="D178" s="143">
        <f>D154</f>
        <v>2436910.0315860305</v>
      </c>
      <c r="E178" s="143">
        <f t="shared" ref="E178:H178" si="70">E154</f>
        <v>2510017.3325336115</v>
      </c>
      <c r="F178" s="143">
        <f t="shared" si="70"/>
        <v>2585317.8525096197</v>
      </c>
      <c r="G178" s="143">
        <f t="shared" si="70"/>
        <v>2662877.3880849085</v>
      </c>
      <c r="H178" s="143">
        <f t="shared" si="70"/>
        <v>2742763.7097274559</v>
      </c>
    </row>
    <row r="179" spans="1:8">
      <c r="A179" s="95">
        <v>2</v>
      </c>
      <c r="B179" s="317" t="s">
        <v>251</v>
      </c>
      <c r="C179" s="317"/>
      <c r="D179" s="143">
        <f>D155</f>
        <v>439666.28541901807</v>
      </c>
      <c r="E179" s="143">
        <f t="shared" ref="E179:H179" si="71">E155</f>
        <v>452856.2739815886</v>
      </c>
      <c r="F179" s="143">
        <f t="shared" si="71"/>
        <v>466441.96220103628</v>
      </c>
      <c r="G179" s="143">
        <f t="shared" si="71"/>
        <v>480435.22106706735</v>
      </c>
      <c r="H179" s="143">
        <f t="shared" si="71"/>
        <v>494848.27769907936</v>
      </c>
    </row>
    <row r="180" spans="1:8">
      <c r="A180" s="95">
        <v>3</v>
      </c>
      <c r="B180" s="317" t="s">
        <v>252</v>
      </c>
      <c r="C180" s="317"/>
      <c r="D180" s="143">
        <f>$D$163*D105</f>
        <v>184892.28833647442</v>
      </c>
      <c r="E180" s="143">
        <f t="shared" ref="E180:H180" si="72">$D$163*E105</f>
        <v>190201.45698656869</v>
      </c>
      <c r="F180" s="143">
        <f t="shared" si="72"/>
        <v>195669.90069616574</v>
      </c>
      <c r="G180" s="143">
        <f t="shared" si="72"/>
        <v>201302.39771705074</v>
      </c>
      <c r="H180" s="143">
        <f t="shared" si="72"/>
        <v>207103.86964856225</v>
      </c>
    </row>
    <row r="181" spans="1:8">
      <c r="A181" s="95">
        <v>4</v>
      </c>
      <c r="B181" s="317" t="s">
        <v>258</v>
      </c>
      <c r="C181" s="317"/>
      <c r="D181" s="143">
        <f>$D$164*D105</f>
        <v>123261.52555764963</v>
      </c>
      <c r="E181" s="143">
        <f t="shared" ref="E181:H181" si="73">$D$164*E105</f>
        <v>126800.97132437913</v>
      </c>
      <c r="F181" s="143">
        <f t="shared" si="73"/>
        <v>130446.60046411051</v>
      </c>
      <c r="G181" s="143">
        <f t="shared" si="73"/>
        <v>134201.59847803385</v>
      </c>
      <c r="H181" s="143">
        <f t="shared" si="73"/>
        <v>138069.24643237484</v>
      </c>
    </row>
    <row r="182" spans="1:8">
      <c r="A182" s="95"/>
      <c r="B182" s="316" t="s">
        <v>259</v>
      </c>
      <c r="C182" s="316"/>
      <c r="D182" s="167">
        <f>SUM(D178:D181)</f>
        <v>3184730.1308991727</v>
      </c>
      <c r="E182" s="28">
        <f>SUM(E178:E181)</f>
        <v>3279876.0348261478</v>
      </c>
      <c r="F182" s="28">
        <f>SUM(F178:F181)</f>
        <v>3377876.3158709328</v>
      </c>
      <c r="G182" s="28">
        <f>SUM(G178:G181)</f>
        <v>3478816.6053470601</v>
      </c>
      <c r="H182" s="28">
        <f>SUM(H178:H181)</f>
        <v>3582785.1035074722</v>
      </c>
    </row>
    <row r="183" spans="1:8">
      <c r="A183" s="96"/>
      <c r="B183" s="96"/>
      <c r="C183" s="96"/>
      <c r="D183" s="96"/>
    </row>
    <row r="184" spans="1:8">
      <c r="A184" s="319" t="s">
        <v>1</v>
      </c>
      <c r="B184" s="316" t="s">
        <v>90</v>
      </c>
      <c r="C184" s="316"/>
      <c r="D184" s="163" t="s">
        <v>55</v>
      </c>
      <c r="E184" s="164" t="s">
        <v>56</v>
      </c>
      <c r="F184" s="163" t="s">
        <v>57</v>
      </c>
      <c r="G184" s="164" t="s">
        <v>58</v>
      </c>
      <c r="H184" s="163" t="s">
        <v>59</v>
      </c>
    </row>
    <row r="185" spans="1:8">
      <c r="A185" s="319"/>
      <c r="B185" s="316" t="s">
        <v>94</v>
      </c>
      <c r="C185" s="316"/>
      <c r="D185" s="165">
        <v>11</v>
      </c>
      <c r="E185" s="166">
        <v>12</v>
      </c>
      <c r="F185" s="165">
        <v>13</v>
      </c>
      <c r="G185" s="166">
        <v>14</v>
      </c>
      <c r="H185" s="165">
        <v>15</v>
      </c>
    </row>
    <row r="186" spans="1:8">
      <c r="A186" s="95">
        <v>1</v>
      </c>
      <c r="B186" s="317" t="s">
        <v>250</v>
      </c>
      <c r="C186" s="317"/>
      <c r="D186" s="143">
        <f>D159</f>
        <v>2825046.6210192796</v>
      </c>
      <c r="E186" s="143">
        <f t="shared" ref="E186:H186" si="74">E159</f>
        <v>2909798.0196498581</v>
      </c>
      <c r="F186" s="143">
        <f t="shared" si="74"/>
        <v>2997091.9602393541</v>
      </c>
      <c r="G186" s="143">
        <f t="shared" si="74"/>
        <v>3087004.719046535</v>
      </c>
      <c r="H186" s="143">
        <f t="shared" si="74"/>
        <v>3179614.860617931</v>
      </c>
    </row>
    <row r="187" spans="1:8">
      <c r="A187" s="95">
        <v>2</v>
      </c>
      <c r="B187" s="317" t="s">
        <v>251</v>
      </c>
      <c r="C187" s="317"/>
      <c r="D187" s="143">
        <f>D160</f>
        <v>509693.72603005177</v>
      </c>
      <c r="E187" s="143">
        <f t="shared" ref="E187:H187" si="75">E160</f>
        <v>524984.53781095333</v>
      </c>
      <c r="F187" s="143">
        <f t="shared" si="75"/>
        <v>540734.07394528191</v>
      </c>
      <c r="G187" s="143">
        <f t="shared" si="75"/>
        <v>556956.09616364038</v>
      </c>
      <c r="H187" s="143">
        <f t="shared" si="75"/>
        <v>573664.77904854959</v>
      </c>
    </row>
    <row r="188" spans="1:8">
      <c r="A188" s="95">
        <v>3</v>
      </c>
      <c r="B188" s="317" t="s">
        <v>252</v>
      </c>
      <c r="C188" s="317"/>
      <c r="D188" s="143">
        <f>$D$163*D120</f>
        <v>220026.16731015974</v>
      </c>
      <c r="E188" s="143">
        <f t="shared" ref="E188:H188" si="76">$D$163*E120</f>
        <v>226365.59232946453</v>
      </c>
      <c r="F188" s="143">
        <f t="shared" si="76"/>
        <v>232895.20009934847</v>
      </c>
      <c r="G188" s="143">
        <f t="shared" si="76"/>
        <v>239620.69610232895</v>
      </c>
      <c r="H188" s="143">
        <f t="shared" si="76"/>
        <v>246547.95698539884</v>
      </c>
    </row>
    <row r="189" spans="1:8">
      <c r="A189" s="95">
        <v>4</v>
      </c>
      <c r="B189" s="317" t="s">
        <v>258</v>
      </c>
      <c r="C189" s="317"/>
      <c r="D189" s="143">
        <f>$D$164*D120</f>
        <v>146684.1115401065</v>
      </c>
      <c r="E189" s="143">
        <f t="shared" ref="E189:H189" si="77">$D$164*E120</f>
        <v>150910.39488630969</v>
      </c>
      <c r="F189" s="143">
        <f t="shared" si="77"/>
        <v>155263.46673289899</v>
      </c>
      <c r="G189" s="143">
        <f t="shared" si="77"/>
        <v>159747.13073488598</v>
      </c>
      <c r="H189" s="143">
        <f t="shared" si="77"/>
        <v>164365.30465693257</v>
      </c>
    </row>
    <row r="190" spans="1:8">
      <c r="A190" s="95"/>
      <c r="B190" s="316" t="s">
        <v>259</v>
      </c>
      <c r="C190" s="316"/>
      <c r="D190" s="167">
        <f>SUM(D186:D189)</f>
        <v>3701450.6258995975</v>
      </c>
      <c r="E190" s="28">
        <f>SUM(E186:E189)</f>
        <v>3812058.5446765856</v>
      </c>
      <c r="F190" s="28">
        <f>SUM(F186:F189)</f>
        <v>3925984.7010168838</v>
      </c>
      <c r="G190" s="28">
        <f>SUM(G186:G189)</f>
        <v>4043328.6420473903</v>
      </c>
      <c r="H190" s="28">
        <f>SUM(H186:H189)</f>
        <v>4164192.9013088117</v>
      </c>
    </row>
    <row r="191" spans="1:8">
      <c r="A191" s="96"/>
      <c r="B191" s="96"/>
      <c r="C191" s="96"/>
      <c r="D191" s="96"/>
    </row>
    <row r="192" spans="1:8">
      <c r="A192" s="9" t="s">
        <v>98</v>
      </c>
    </row>
    <row r="193" spans="1:14" ht="66.75" customHeight="1">
      <c r="A193" s="318" t="s">
        <v>504</v>
      </c>
      <c r="B193" s="318"/>
      <c r="C193" s="318"/>
      <c r="D193" s="318"/>
      <c r="E193" s="318"/>
      <c r="F193" s="318"/>
      <c r="G193" s="318"/>
      <c r="H193" s="318"/>
      <c r="K193" s="1">
        <v>1000</v>
      </c>
      <c r="L193" s="1">
        <f>K195/1.1</f>
        <v>999.99999999999989</v>
      </c>
    </row>
    <row r="194" spans="1:14" ht="18" customHeight="1">
      <c r="A194" s="330" t="s">
        <v>426</v>
      </c>
      <c r="B194" s="330"/>
      <c r="C194" s="330"/>
      <c r="D194" s="330"/>
      <c r="E194" s="330"/>
      <c r="F194" s="330"/>
      <c r="G194" s="330"/>
      <c r="H194" s="330"/>
      <c r="K194" s="1">
        <f>K193*10%</f>
        <v>100</v>
      </c>
    </row>
    <row r="195" spans="1:14" ht="18" customHeight="1">
      <c r="A195" s="67" t="s">
        <v>99</v>
      </c>
      <c r="K195" s="1">
        <f>K193+K194</f>
        <v>1100</v>
      </c>
    </row>
    <row r="196" spans="1:14" ht="18" customHeight="1">
      <c r="G196" s="29" t="s">
        <v>60</v>
      </c>
      <c r="H196" s="30" t="s">
        <v>61</v>
      </c>
    </row>
    <row r="197" spans="1:14" ht="49.5" customHeight="1">
      <c r="A197" s="174" t="s">
        <v>1</v>
      </c>
      <c r="B197" s="174" t="s">
        <v>100</v>
      </c>
      <c r="C197" s="174" t="s">
        <v>106</v>
      </c>
      <c r="D197" s="174" t="s">
        <v>95</v>
      </c>
      <c r="E197" s="174" t="s">
        <v>101</v>
      </c>
      <c r="F197" s="174" t="s">
        <v>33</v>
      </c>
      <c r="G197" s="174" t="s">
        <v>34</v>
      </c>
      <c r="H197" s="174" t="s">
        <v>35</v>
      </c>
    </row>
    <row r="198" spans="1:14" ht="17.100000000000001" customHeight="1">
      <c r="A198" s="170" t="s">
        <v>38</v>
      </c>
      <c r="B198" s="170" t="s">
        <v>39</v>
      </c>
      <c r="C198" s="170" t="s">
        <v>40</v>
      </c>
      <c r="D198" s="170" t="s">
        <v>105</v>
      </c>
      <c r="E198" s="170" t="s">
        <v>425</v>
      </c>
      <c r="F198" s="170">
        <v>1</v>
      </c>
      <c r="G198" s="170">
        <v>2</v>
      </c>
      <c r="H198" s="170">
        <v>3</v>
      </c>
      <c r="N198" s="1" t="s">
        <v>498</v>
      </c>
    </row>
    <row r="199" spans="1:14" ht="17.100000000000001" customHeight="1">
      <c r="A199" s="176">
        <v>1</v>
      </c>
      <c r="B199" s="171" t="s">
        <v>408</v>
      </c>
      <c r="C199" s="298">
        <v>15</v>
      </c>
      <c r="D199" s="153">
        <f>(N199+N200)/1000</f>
        <v>3382690.9090909092</v>
      </c>
      <c r="E199" s="110">
        <f>1/C199</f>
        <v>6.6666666666666666E-2</v>
      </c>
      <c r="F199" s="47">
        <f>D199*E199</f>
        <v>225512.72727272726</v>
      </c>
      <c r="G199" s="48">
        <f>F199</f>
        <v>225512.72727272726</v>
      </c>
      <c r="H199" s="48">
        <f>G199</f>
        <v>225512.72727272726</v>
      </c>
      <c r="J199" s="239" t="s">
        <v>416</v>
      </c>
      <c r="K199" s="237" t="s">
        <v>409</v>
      </c>
      <c r="L199" s="238">
        <v>480</v>
      </c>
      <c r="M199" s="169">
        <v>4650000</v>
      </c>
      <c r="N199" s="169">
        <f t="shared" ref="N199:N207" si="78">+M199*L199/1.1</f>
        <v>2029090909.090909</v>
      </c>
    </row>
    <row r="200" spans="1:14" ht="17.100000000000001" customHeight="1">
      <c r="A200" s="176">
        <v>2</v>
      </c>
      <c r="B200" s="171" t="s">
        <v>102</v>
      </c>
      <c r="C200" s="298">
        <v>6</v>
      </c>
      <c r="D200" s="153">
        <f>685335/1.1</f>
        <v>623031.81818181812</v>
      </c>
      <c r="E200" s="110">
        <f t="shared" ref="E200:E204" si="79">1/C200</f>
        <v>0.16666666666666666</v>
      </c>
      <c r="F200" s="47">
        <f>D200*E200</f>
        <v>103838.63636363635</v>
      </c>
      <c r="G200" s="48">
        <f>F200</f>
        <v>103838.63636363635</v>
      </c>
      <c r="H200" s="48">
        <f>G200</f>
        <v>103838.63636363635</v>
      </c>
      <c r="J200" s="239" t="s">
        <v>417</v>
      </c>
      <c r="K200" s="237" t="s">
        <v>410</v>
      </c>
      <c r="L200" s="238">
        <v>264</v>
      </c>
      <c r="M200" s="169">
        <v>5640000</v>
      </c>
      <c r="N200" s="169">
        <f t="shared" si="78"/>
        <v>1353600000</v>
      </c>
    </row>
    <row r="201" spans="1:14" ht="17.100000000000001" customHeight="1">
      <c r="A201" s="176">
        <v>3</v>
      </c>
      <c r="B201" s="171" t="s">
        <v>406</v>
      </c>
      <c r="C201" s="298">
        <v>6</v>
      </c>
      <c r="D201" s="153">
        <f>N201/1000</f>
        <v>149236.36363636362</v>
      </c>
      <c r="E201" s="110">
        <f t="shared" si="79"/>
        <v>0.16666666666666666</v>
      </c>
      <c r="F201" s="47">
        <f t="shared" ref="F201:F203" si="80">D201*E201</f>
        <v>24872.727272727268</v>
      </c>
      <c r="G201" s="48">
        <f t="shared" ref="G201:H201" si="81">F201</f>
        <v>24872.727272727268</v>
      </c>
      <c r="H201" s="48">
        <f t="shared" si="81"/>
        <v>24872.727272727268</v>
      </c>
      <c r="J201" s="239" t="s">
        <v>418</v>
      </c>
      <c r="K201" s="237" t="s">
        <v>406</v>
      </c>
      <c r="L201" s="238">
        <v>108</v>
      </c>
      <c r="M201" s="169">
        <v>1520000</v>
      </c>
      <c r="N201" s="169">
        <f t="shared" si="78"/>
        <v>149236363.63636363</v>
      </c>
    </row>
    <row r="202" spans="1:14" ht="17.100000000000001" customHeight="1">
      <c r="A202" s="176">
        <v>4</v>
      </c>
      <c r="B202" s="171" t="s">
        <v>407</v>
      </c>
      <c r="C202" s="298">
        <v>10</v>
      </c>
      <c r="D202" s="153">
        <f>N207/1000</f>
        <v>600000</v>
      </c>
      <c r="E202" s="253">
        <f t="shared" si="79"/>
        <v>0.1</v>
      </c>
      <c r="F202" s="47">
        <f t="shared" si="80"/>
        <v>60000</v>
      </c>
      <c r="G202" s="48">
        <f t="shared" ref="G202:H202" si="82">F202</f>
        <v>60000</v>
      </c>
      <c r="H202" s="48">
        <f t="shared" si="82"/>
        <v>60000</v>
      </c>
      <c r="J202" s="239" t="s">
        <v>419</v>
      </c>
      <c r="K202" s="237" t="s">
        <v>411</v>
      </c>
      <c r="L202" s="238">
        <v>4764</v>
      </c>
      <c r="M202" s="169">
        <v>600000</v>
      </c>
      <c r="N202" s="169">
        <f t="shared" si="78"/>
        <v>2598545454.5454545</v>
      </c>
    </row>
    <row r="203" spans="1:14" ht="17.100000000000001" customHeight="1">
      <c r="A203" s="61">
        <v>5</v>
      </c>
      <c r="B203" s="231" t="s">
        <v>482</v>
      </c>
      <c r="C203" s="299">
        <v>10</v>
      </c>
      <c r="D203" s="244">
        <f>N202/1000</f>
        <v>2598545.4545454546</v>
      </c>
      <c r="E203" s="280">
        <f t="shared" si="79"/>
        <v>0.1</v>
      </c>
      <c r="F203" s="63">
        <f t="shared" si="80"/>
        <v>259854.54545454547</v>
      </c>
      <c r="G203" s="246">
        <f t="shared" ref="G203:H204" si="83">F203</f>
        <v>259854.54545454547</v>
      </c>
      <c r="H203" s="246">
        <f t="shared" si="83"/>
        <v>259854.54545454547</v>
      </c>
      <c r="J203" s="239" t="s">
        <v>420</v>
      </c>
      <c r="K203" s="237" t="s">
        <v>412</v>
      </c>
      <c r="L203" s="238">
        <v>66</v>
      </c>
      <c r="M203" s="169">
        <v>1520000</v>
      </c>
      <c r="N203" s="169">
        <f t="shared" si="78"/>
        <v>91200000</v>
      </c>
    </row>
    <row r="204" spans="1:14" ht="17.100000000000001" customHeight="1">
      <c r="A204" s="61">
        <v>6</v>
      </c>
      <c r="B204" s="180" t="s">
        <v>434</v>
      </c>
      <c r="C204" s="300">
        <v>6</v>
      </c>
      <c r="D204" s="244">
        <f>SUM(N203:N206)/1000</f>
        <v>444257.54545454541</v>
      </c>
      <c r="E204" s="281">
        <f t="shared" si="79"/>
        <v>0.16666666666666666</v>
      </c>
      <c r="F204" s="63">
        <f t="shared" ref="F204" si="84">D204*E204</f>
        <v>74042.924242424226</v>
      </c>
      <c r="G204" s="246">
        <f t="shared" si="83"/>
        <v>74042.924242424226</v>
      </c>
      <c r="H204" s="246">
        <f t="shared" si="83"/>
        <v>74042.924242424226</v>
      </c>
      <c r="J204" s="239" t="s">
        <v>421</v>
      </c>
      <c r="K204" s="237" t="s">
        <v>413</v>
      </c>
      <c r="L204" s="238">
        <v>145.38</v>
      </c>
      <c r="M204" s="169">
        <v>585000</v>
      </c>
      <c r="N204" s="169">
        <f t="shared" si="78"/>
        <v>77315727.272727266</v>
      </c>
    </row>
    <row r="205" spans="1:14" ht="17.100000000000001" customHeight="1">
      <c r="A205" s="14"/>
      <c r="B205" s="19" t="s">
        <v>103</v>
      </c>
      <c r="C205" s="242"/>
      <c r="D205" s="243">
        <f>SUM(D199:D204)</f>
        <v>7797762.0909090918</v>
      </c>
      <c r="E205" s="15"/>
      <c r="F205" s="49">
        <f>SUM(F199:F204)</f>
        <v>748121.56060606067</v>
      </c>
      <c r="G205" s="49">
        <f t="shared" ref="G205:H205" si="85">SUM(G199:G204)</f>
        <v>748121.56060606067</v>
      </c>
      <c r="H205" s="49">
        <f t="shared" si="85"/>
        <v>748121.56060606067</v>
      </c>
      <c r="J205" s="239" t="s">
        <v>422</v>
      </c>
      <c r="K205" s="237" t="s">
        <v>414</v>
      </c>
      <c r="L205" s="238">
        <v>154.62</v>
      </c>
      <c r="M205" s="169">
        <v>1800000</v>
      </c>
      <c r="N205" s="169">
        <f t="shared" si="78"/>
        <v>253014545.45454544</v>
      </c>
    </row>
    <row r="206" spans="1:14" ht="17.100000000000001" customHeight="1">
      <c r="A206" s="14"/>
      <c r="B206" s="19" t="s">
        <v>104</v>
      </c>
      <c r="C206" s="315"/>
      <c r="D206" s="315"/>
      <c r="E206" s="15"/>
      <c r="F206" s="49">
        <f>D205-F205</f>
        <v>7049640.5303030312</v>
      </c>
      <c r="G206" s="49">
        <f>F206-G205</f>
        <v>6301518.9696969707</v>
      </c>
      <c r="H206" s="49">
        <f>G206-H205</f>
        <v>5553397.4090909101</v>
      </c>
      <c r="J206" s="239" t="s">
        <v>423</v>
      </c>
      <c r="K206" s="237" t="s">
        <v>415</v>
      </c>
      <c r="L206" s="238">
        <v>1</v>
      </c>
      <c r="M206" s="169">
        <v>25000000</v>
      </c>
      <c r="N206" s="169">
        <f t="shared" si="78"/>
        <v>22727272.727272727</v>
      </c>
    </row>
    <row r="207" spans="1:14" ht="17.100000000000001" customHeight="1">
      <c r="J207" s="239" t="s">
        <v>424</v>
      </c>
      <c r="K207" s="237" t="s">
        <v>407</v>
      </c>
      <c r="L207" s="15">
        <v>375</v>
      </c>
      <c r="M207" s="169">
        <v>1760000</v>
      </c>
      <c r="N207" s="169">
        <f t="shared" si="78"/>
        <v>600000000</v>
      </c>
    </row>
    <row r="208" spans="1:14" ht="50.1" customHeight="1">
      <c r="A208" s="172" t="s">
        <v>1</v>
      </c>
      <c r="B208" s="172" t="s">
        <v>100</v>
      </c>
      <c r="C208" s="174" t="s">
        <v>106</v>
      </c>
      <c r="D208" s="174" t="s">
        <v>95</v>
      </c>
      <c r="E208" s="172" t="s">
        <v>101</v>
      </c>
      <c r="F208" s="172" t="s">
        <v>36</v>
      </c>
      <c r="G208" s="172" t="s">
        <v>37</v>
      </c>
      <c r="H208" s="172" t="s">
        <v>50</v>
      </c>
    </row>
    <row r="209" spans="1:8" ht="17.100000000000001" customHeight="1">
      <c r="A209" s="170" t="s">
        <v>38</v>
      </c>
      <c r="B209" s="170" t="s">
        <v>39</v>
      </c>
      <c r="C209" s="178" t="s">
        <v>40</v>
      </c>
      <c r="D209" s="179" t="s">
        <v>105</v>
      </c>
      <c r="E209" s="170" t="s">
        <v>425</v>
      </c>
      <c r="F209" s="170">
        <v>4</v>
      </c>
      <c r="G209" s="170">
        <v>5</v>
      </c>
      <c r="H209" s="170">
        <v>6</v>
      </c>
    </row>
    <row r="210" spans="1:8" ht="17.100000000000001" customHeight="1">
      <c r="A210" s="14">
        <v>1</v>
      </c>
      <c r="B210" s="22" t="str">
        <f>B199</f>
        <v>Nhà xưởng, nhà điều hành</v>
      </c>
      <c r="C210" s="298">
        <f>C199</f>
        <v>15</v>
      </c>
      <c r="D210" s="153">
        <f>D199</f>
        <v>3382690.9090909092</v>
      </c>
      <c r="E210" s="110">
        <f>E199</f>
        <v>6.6666666666666666E-2</v>
      </c>
      <c r="F210" s="47">
        <f>E210*D210</f>
        <v>225512.72727272726</v>
      </c>
      <c r="G210" s="48">
        <f>F210</f>
        <v>225512.72727272726</v>
      </c>
      <c r="H210" s="48">
        <f>G210</f>
        <v>225512.72727272726</v>
      </c>
    </row>
    <row r="211" spans="1:8" ht="17.100000000000001" customHeight="1">
      <c r="A211" s="14">
        <v>2</v>
      </c>
      <c r="B211" s="171" t="str">
        <f t="shared" ref="B211:E215" si="86">B200</f>
        <v>Thiết bị kiểm định</v>
      </c>
      <c r="C211" s="298">
        <f t="shared" si="86"/>
        <v>6</v>
      </c>
      <c r="D211" s="153">
        <f t="shared" si="86"/>
        <v>623031.81818181812</v>
      </c>
      <c r="E211" s="110">
        <f t="shared" si="86"/>
        <v>0.16666666666666666</v>
      </c>
      <c r="F211" s="47">
        <f t="shared" ref="F211:F214" si="87">E211*D211</f>
        <v>103838.63636363635</v>
      </c>
      <c r="G211" s="48">
        <f>F211</f>
        <v>103838.63636363635</v>
      </c>
      <c r="H211" s="48">
        <f>G211</f>
        <v>103838.63636363635</v>
      </c>
    </row>
    <row r="212" spans="1:8" ht="17.100000000000001" customHeight="1">
      <c r="A212" s="176">
        <v>3</v>
      </c>
      <c r="B212" s="171" t="str">
        <f t="shared" si="86"/>
        <v>Nhà để xe</v>
      </c>
      <c r="C212" s="298">
        <f t="shared" si="86"/>
        <v>6</v>
      </c>
      <c r="D212" s="153">
        <f t="shared" si="86"/>
        <v>149236.36363636362</v>
      </c>
      <c r="E212" s="110">
        <f t="shared" si="86"/>
        <v>0.16666666666666666</v>
      </c>
      <c r="F212" s="47">
        <f t="shared" si="87"/>
        <v>24872.727272727268</v>
      </c>
      <c r="G212" s="48">
        <f t="shared" ref="G212:H212" si="88">F212</f>
        <v>24872.727272727268</v>
      </c>
      <c r="H212" s="48">
        <f t="shared" si="88"/>
        <v>24872.727272727268</v>
      </c>
    </row>
    <row r="213" spans="1:8" ht="17.100000000000001" customHeight="1">
      <c r="A213" s="176">
        <v>4</v>
      </c>
      <c r="B213" s="171" t="str">
        <f t="shared" si="86"/>
        <v>Xưởng làm lốp</v>
      </c>
      <c r="C213" s="298">
        <f t="shared" si="86"/>
        <v>10</v>
      </c>
      <c r="D213" s="153">
        <f t="shared" si="86"/>
        <v>600000</v>
      </c>
      <c r="E213" s="253">
        <f t="shared" si="86"/>
        <v>0.1</v>
      </c>
      <c r="F213" s="47">
        <f t="shared" si="87"/>
        <v>60000</v>
      </c>
      <c r="G213" s="48">
        <f t="shared" ref="G213:H213" si="89">F213</f>
        <v>60000</v>
      </c>
      <c r="H213" s="48">
        <f t="shared" si="89"/>
        <v>60000</v>
      </c>
    </row>
    <row r="214" spans="1:8" ht="17.100000000000001" customHeight="1">
      <c r="A214" s="61">
        <v>5</v>
      </c>
      <c r="B214" s="180" t="str">
        <f t="shared" si="86"/>
        <v>Bãi đỗ xe, đường ra vào</v>
      </c>
      <c r="C214" s="299">
        <f t="shared" si="86"/>
        <v>10</v>
      </c>
      <c r="D214" s="244">
        <f t="shared" si="86"/>
        <v>2598545.4545454546</v>
      </c>
      <c r="E214" s="280">
        <f t="shared" si="86"/>
        <v>0.1</v>
      </c>
      <c r="F214" s="63">
        <f t="shared" si="87"/>
        <v>259854.54545454547</v>
      </c>
      <c r="G214" s="246">
        <f t="shared" ref="G214:H215" si="90">F214</f>
        <v>259854.54545454547</v>
      </c>
      <c r="H214" s="246">
        <f t="shared" si="90"/>
        <v>259854.54545454547</v>
      </c>
    </row>
    <row r="215" spans="1:8" ht="17.100000000000001" customHeight="1">
      <c r="A215" s="61">
        <v>6</v>
      </c>
      <c r="B215" s="180" t="str">
        <f t="shared" si="86"/>
        <v>Phụ trợ</v>
      </c>
      <c r="C215" s="300">
        <f t="shared" si="86"/>
        <v>6</v>
      </c>
      <c r="D215" s="244">
        <f t="shared" si="86"/>
        <v>444257.54545454541</v>
      </c>
      <c r="E215" s="281">
        <f t="shared" si="86"/>
        <v>0.16666666666666666</v>
      </c>
      <c r="F215" s="63">
        <f t="shared" ref="F215" si="91">E215*D215</f>
        <v>74042.924242424226</v>
      </c>
      <c r="G215" s="246">
        <f t="shared" si="90"/>
        <v>74042.924242424226</v>
      </c>
      <c r="H215" s="246">
        <f t="shared" si="90"/>
        <v>74042.924242424226</v>
      </c>
    </row>
    <row r="216" spans="1:8" ht="17.100000000000001" customHeight="1">
      <c r="A216" s="14"/>
      <c r="B216" s="19" t="s">
        <v>103</v>
      </c>
      <c r="C216" s="242"/>
      <c r="D216" s="243">
        <f>D205</f>
        <v>7797762.0909090918</v>
      </c>
      <c r="E216" s="15"/>
      <c r="F216" s="49">
        <f>SUM(F210:F215)</f>
        <v>748121.56060606067</v>
      </c>
      <c r="G216" s="49">
        <f t="shared" ref="G216:H216" si="92">SUM(G210:G215)</f>
        <v>748121.56060606067</v>
      </c>
      <c r="H216" s="49">
        <f t="shared" si="92"/>
        <v>748121.56060606067</v>
      </c>
    </row>
    <row r="217" spans="1:8" ht="17.100000000000001" customHeight="1">
      <c r="A217" s="14"/>
      <c r="B217" s="19" t="s">
        <v>104</v>
      </c>
      <c r="C217" s="315"/>
      <c r="D217" s="315"/>
      <c r="E217" s="15"/>
      <c r="F217" s="49">
        <f>H206-F216</f>
        <v>4805275.8484848496</v>
      </c>
      <c r="G217" s="49">
        <f>F217-G216</f>
        <v>4057154.287878789</v>
      </c>
      <c r="H217" s="49">
        <f>G217-H216</f>
        <v>3309032.7272727285</v>
      </c>
    </row>
    <row r="218" spans="1:8" ht="17.100000000000001" customHeight="1"/>
    <row r="219" spans="1:8" ht="50.1" customHeight="1">
      <c r="A219" s="174" t="s">
        <v>1</v>
      </c>
      <c r="B219" s="174" t="s">
        <v>100</v>
      </c>
      <c r="C219" s="174" t="s">
        <v>106</v>
      </c>
      <c r="D219" s="174" t="s">
        <v>95</v>
      </c>
      <c r="E219" s="174" t="s">
        <v>101</v>
      </c>
      <c r="F219" s="174" t="s">
        <v>51</v>
      </c>
      <c r="G219" s="174" t="s">
        <v>52</v>
      </c>
      <c r="H219" s="174" t="s">
        <v>53</v>
      </c>
    </row>
    <row r="220" spans="1:8" ht="17.100000000000001" customHeight="1">
      <c r="A220" s="170" t="s">
        <v>38</v>
      </c>
      <c r="B220" s="170" t="s">
        <v>39</v>
      </c>
      <c r="C220" s="170" t="s">
        <v>40</v>
      </c>
      <c r="D220" s="170" t="s">
        <v>105</v>
      </c>
      <c r="E220" s="170" t="s">
        <v>425</v>
      </c>
      <c r="F220" s="19">
        <v>7</v>
      </c>
      <c r="G220" s="19">
        <v>8</v>
      </c>
      <c r="H220" s="19">
        <v>9</v>
      </c>
    </row>
    <row r="221" spans="1:8" ht="17.100000000000001" customHeight="1">
      <c r="A221" s="14">
        <v>1</v>
      </c>
      <c r="B221" s="22" t="str">
        <f>B199</f>
        <v>Nhà xưởng, nhà điều hành</v>
      </c>
      <c r="C221" s="298">
        <f>C199</f>
        <v>15</v>
      </c>
      <c r="D221" s="153">
        <f>D199</f>
        <v>3382690.9090909092</v>
      </c>
      <c r="E221" s="110">
        <f>E199</f>
        <v>6.6666666666666666E-2</v>
      </c>
      <c r="F221" s="47">
        <f>E221*D221</f>
        <v>225512.72727272726</v>
      </c>
      <c r="G221" s="48">
        <f>F221</f>
        <v>225512.72727272726</v>
      </c>
      <c r="H221" s="48">
        <f>G221</f>
        <v>225512.72727272726</v>
      </c>
    </row>
    <row r="222" spans="1:8" ht="17.100000000000001" customHeight="1">
      <c r="A222" s="14">
        <v>2</v>
      </c>
      <c r="B222" s="22" t="str">
        <f>B200</f>
        <v>Thiết bị kiểm định</v>
      </c>
      <c r="C222" s="298">
        <f t="shared" ref="C222:E222" si="93">C200</f>
        <v>6</v>
      </c>
      <c r="D222" s="153">
        <f t="shared" si="93"/>
        <v>623031.81818181812</v>
      </c>
      <c r="E222" s="110">
        <f t="shared" si="93"/>
        <v>0.16666666666666666</v>
      </c>
      <c r="F222" s="47">
        <v>0</v>
      </c>
      <c r="G222" s="48">
        <f t="shared" ref="G222:H222" si="94">F222</f>
        <v>0</v>
      </c>
      <c r="H222" s="48">
        <f t="shared" si="94"/>
        <v>0</v>
      </c>
    </row>
    <row r="223" spans="1:8" ht="17.100000000000001" customHeight="1">
      <c r="A223" s="176">
        <v>3</v>
      </c>
      <c r="B223" s="171" t="str">
        <f t="shared" ref="B223:B226" si="95">B201</f>
        <v>Nhà để xe</v>
      </c>
      <c r="C223" s="298">
        <f t="shared" ref="C223:E223" si="96">C201</f>
        <v>6</v>
      </c>
      <c r="D223" s="153">
        <f t="shared" si="96"/>
        <v>149236.36363636362</v>
      </c>
      <c r="E223" s="110">
        <f t="shared" si="96"/>
        <v>0.16666666666666666</v>
      </c>
      <c r="F223" s="47">
        <v>0</v>
      </c>
      <c r="G223" s="48">
        <f t="shared" ref="G223:H223" si="97">F223</f>
        <v>0</v>
      </c>
      <c r="H223" s="48">
        <f t="shared" si="97"/>
        <v>0</v>
      </c>
    </row>
    <row r="224" spans="1:8" ht="17.100000000000001" customHeight="1">
      <c r="A224" s="176">
        <v>4</v>
      </c>
      <c r="B224" s="171" t="str">
        <f t="shared" si="95"/>
        <v>Xưởng làm lốp</v>
      </c>
      <c r="C224" s="298">
        <f t="shared" ref="C224:E224" si="98">C202</f>
        <v>10</v>
      </c>
      <c r="D224" s="153">
        <f t="shared" si="98"/>
        <v>600000</v>
      </c>
      <c r="E224" s="253">
        <f t="shared" si="98"/>
        <v>0.1</v>
      </c>
      <c r="F224" s="47">
        <f t="shared" ref="F224:F225" si="99">E224*D224</f>
        <v>60000</v>
      </c>
      <c r="G224" s="48">
        <f t="shared" ref="G224:H224" si="100">F224</f>
        <v>60000</v>
      </c>
      <c r="H224" s="48">
        <f t="shared" si="100"/>
        <v>60000</v>
      </c>
    </row>
    <row r="225" spans="1:8" ht="17.100000000000001" customHeight="1">
      <c r="A225" s="61">
        <v>5</v>
      </c>
      <c r="B225" s="180" t="str">
        <f t="shared" si="95"/>
        <v>Bãi đỗ xe, đường ra vào</v>
      </c>
      <c r="C225" s="299">
        <f t="shared" ref="C225:E226" si="101">C203</f>
        <v>10</v>
      </c>
      <c r="D225" s="244">
        <f t="shared" si="101"/>
        <v>2598545.4545454546</v>
      </c>
      <c r="E225" s="280">
        <f t="shared" si="101"/>
        <v>0.1</v>
      </c>
      <c r="F225" s="63">
        <f t="shared" si="99"/>
        <v>259854.54545454547</v>
      </c>
      <c r="G225" s="246">
        <f t="shared" ref="G225:H226" si="102">F225</f>
        <v>259854.54545454547</v>
      </c>
      <c r="H225" s="246">
        <f t="shared" si="102"/>
        <v>259854.54545454547</v>
      </c>
    </row>
    <row r="226" spans="1:8" ht="17.100000000000001" customHeight="1">
      <c r="A226" s="61">
        <v>6</v>
      </c>
      <c r="B226" s="180" t="str">
        <f t="shared" si="95"/>
        <v>Phụ trợ</v>
      </c>
      <c r="C226" s="300">
        <f t="shared" si="101"/>
        <v>6</v>
      </c>
      <c r="D226" s="244">
        <f t="shared" si="101"/>
        <v>444257.54545454541</v>
      </c>
      <c r="E226" s="281">
        <f t="shared" si="101"/>
        <v>0.16666666666666666</v>
      </c>
      <c r="F226" s="63">
        <v>0</v>
      </c>
      <c r="G226" s="246">
        <f t="shared" si="102"/>
        <v>0</v>
      </c>
      <c r="H226" s="246">
        <f t="shared" si="102"/>
        <v>0</v>
      </c>
    </row>
    <row r="227" spans="1:8" ht="17.100000000000001" customHeight="1">
      <c r="A227" s="14"/>
      <c r="B227" s="19" t="s">
        <v>103</v>
      </c>
      <c r="C227" s="242"/>
      <c r="D227" s="243">
        <f>SUM(D221:D225)</f>
        <v>7353504.5454545468</v>
      </c>
      <c r="E227" s="15"/>
      <c r="F227" s="49">
        <f>SUM(F221:F226)</f>
        <v>545367.27272727271</v>
      </c>
      <c r="G227" s="49">
        <f t="shared" ref="G227:H227" si="103">SUM(G221:G226)</f>
        <v>545367.27272727271</v>
      </c>
      <c r="H227" s="49">
        <f t="shared" si="103"/>
        <v>545367.27272727271</v>
      </c>
    </row>
    <row r="228" spans="1:8" ht="17.100000000000001" customHeight="1">
      <c r="A228" s="14"/>
      <c r="B228" s="19" t="s">
        <v>104</v>
      </c>
      <c r="C228" s="315"/>
      <c r="D228" s="315"/>
      <c r="E228" s="15"/>
      <c r="F228" s="49">
        <f>H217-F227</f>
        <v>2763665.454545456</v>
      </c>
      <c r="G228" s="49">
        <f>F228-G227</f>
        <v>2218298.1818181835</v>
      </c>
      <c r="H228" s="49">
        <f>G228-H227</f>
        <v>1672930.9090909108</v>
      </c>
    </row>
    <row r="229" spans="1:8" ht="17.100000000000001" customHeight="1"/>
    <row r="230" spans="1:8" ht="50.1" customHeight="1">
      <c r="A230" s="174" t="s">
        <v>1</v>
      </c>
      <c r="B230" s="174" t="s">
        <v>100</v>
      </c>
      <c r="C230" s="174" t="s">
        <v>106</v>
      </c>
      <c r="D230" s="174" t="s">
        <v>95</v>
      </c>
      <c r="E230" s="174" t="s">
        <v>101</v>
      </c>
      <c r="F230" s="172" t="s">
        <v>54</v>
      </c>
      <c r="G230" s="172" t="s">
        <v>55</v>
      </c>
      <c r="H230" s="172" t="s">
        <v>56</v>
      </c>
    </row>
    <row r="231" spans="1:8" ht="17.100000000000001" customHeight="1">
      <c r="A231" s="170" t="s">
        <v>38</v>
      </c>
      <c r="B231" s="170" t="s">
        <v>39</v>
      </c>
      <c r="C231" s="170" t="s">
        <v>40</v>
      </c>
      <c r="D231" s="170" t="s">
        <v>105</v>
      </c>
      <c r="E231" s="170" t="s">
        <v>425</v>
      </c>
      <c r="F231" s="19">
        <v>10</v>
      </c>
      <c r="G231" s="19">
        <v>11</v>
      </c>
      <c r="H231" s="19">
        <v>12</v>
      </c>
    </row>
    <row r="232" spans="1:8" ht="17.100000000000001" customHeight="1">
      <c r="A232" s="14">
        <v>1</v>
      </c>
      <c r="B232" s="22" t="str">
        <f>B221</f>
        <v>Nhà xưởng, nhà điều hành</v>
      </c>
      <c r="C232" s="298">
        <f>C221</f>
        <v>15</v>
      </c>
      <c r="D232" s="153">
        <f>D221</f>
        <v>3382690.9090909092</v>
      </c>
      <c r="E232" s="110">
        <f>E221</f>
        <v>6.6666666666666666E-2</v>
      </c>
      <c r="F232" s="47">
        <f>E232*D232</f>
        <v>225512.72727272726</v>
      </c>
      <c r="G232" s="48">
        <f>F232</f>
        <v>225512.72727272726</v>
      </c>
      <c r="H232" s="48">
        <f>G232</f>
        <v>225512.72727272726</v>
      </c>
    </row>
    <row r="233" spans="1:8" ht="17.100000000000001" customHeight="1">
      <c r="A233" s="14">
        <v>2</v>
      </c>
      <c r="B233" s="171" t="str">
        <f t="shared" ref="B233:E237" si="104">B222</f>
        <v>Thiết bị kiểm định</v>
      </c>
      <c r="C233" s="298">
        <f t="shared" si="104"/>
        <v>6</v>
      </c>
      <c r="D233" s="153">
        <f t="shared" si="104"/>
        <v>623031.81818181812</v>
      </c>
      <c r="E233" s="110">
        <f t="shared" si="104"/>
        <v>0.16666666666666666</v>
      </c>
      <c r="F233" s="47">
        <v>0</v>
      </c>
      <c r="G233" s="48">
        <v>0</v>
      </c>
      <c r="H233" s="48">
        <f t="shared" ref="H233" si="105">G233</f>
        <v>0</v>
      </c>
    </row>
    <row r="234" spans="1:8" ht="17.100000000000001" customHeight="1">
      <c r="A234" s="176">
        <v>3</v>
      </c>
      <c r="B234" s="171" t="str">
        <f t="shared" si="104"/>
        <v>Nhà để xe</v>
      </c>
      <c r="C234" s="298">
        <f t="shared" si="104"/>
        <v>6</v>
      </c>
      <c r="D234" s="153">
        <f t="shared" si="104"/>
        <v>149236.36363636362</v>
      </c>
      <c r="E234" s="110">
        <f t="shared" si="104"/>
        <v>0.16666666666666666</v>
      </c>
      <c r="F234" s="47">
        <v>0</v>
      </c>
      <c r="G234" s="48">
        <f t="shared" ref="G234:H234" si="106">F234</f>
        <v>0</v>
      </c>
      <c r="H234" s="48">
        <f t="shared" si="106"/>
        <v>0</v>
      </c>
    </row>
    <row r="235" spans="1:8" ht="17.100000000000001" customHeight="1">
      <c r="A235" s="176">
        <v>4</v>
      </c>
      <c r="B235" s="171" t="str">
        <f t="shared" si="104"/>
        <v>Xưởng làm lốp</v>
      </c>
      <c r="C235" s="298">
        <f t="shared" si="104"/>
        <v>10</v>
      </c>
      <c r="D235" s="153">
        <f t="shared" si="104"/>
        <v>600000</v>
      </c>
      <c r="E235" s="253">
        <f t="shared" si="104"/>
        <v>0.1</v>
      </c>
      <c r="F235" s="47">
        <f t="shared" ref="F235:F236" si="107">E235*D235</f>
        <v>60000</v>
      </c>
      <c r="G235" s="48">
        <v>0</v>
      </c>
      <c r="H235" s="48">
        <f t="shared" ref="H235" si="108">G235</f>
        <v>0</v>
      </c>
    </row>
    <row r="236" spans="1:8" ht="17.100000000000001" customHeight="1">
      <c r="A236" s="61">
        <v>5</v>
      </c>
      <c r="B236" s="180" t="str">
        <f t="shared" si="104"/>
        <v>Bãi đỗ xe, đường ra vào</v>
      </c>
      <c r="C236" s="299">
        <f t="shared" si="104"/>
        <v>10</v>
      </c>
      <c r="D236" s="244">
        <f t="shared" si="104"/>
        <v>2598545.4545454546</v>
      </c>
      <c r="E236" s="280">
        <f t="shared" si="104"/>
        <v>0.1</v>
      </c>
      <c r="F236" s="63">
        <f t="shared" si="107"/>
        <v>259854.54545454547</v>
      </c>
      <c r="G236" s="246">
        <v>0</v>
      </c>
      <c r="H236" s="246">
        <f t="shared" ref="H236:H237" si="109">G236</f>
        <v>0</v>
      </c>
    </row>
    <row r="237" spans="1:8" ht="17.100000000000001" customHeight="1">
      <c r="A237" s="61">
        <v>6</v>
      </c>
      <c r="B237" s="180" t="str">
        <f t="shared" si="104"/>
        <v>Phụ trợ</v>
      </c>
      <c r="C237" s="300">
        <f t="shared" si="104"/>
        <v>6</v>
      </c>
      <c r="D237" s="244">
        <f t="shared" si="104"/>
        <v>444257.54545454541</v>
      </c>
      <c r="E237" s="281">
        <f t="shared" si="104"/>
        <v>0.16666666666666666</v>
      </c>
      <c r="F237" s="63">
        <v>0</v>
      </c>
      <c r="G237" s="246">
        <v>0</v>
      </c>
      <c r="H237" s="246">
        <f t="shared" si="109"/>
        <v>0</v>
      </c>
    </row>
    <row r="238" spans="1:8" ht="17.100000000000001" customHeight="1">
      <c r="A238" s="14"/>
      <c r="B238" s="19" t="s">
        <v>103</v>
      </c>
      <c r="C238" s="242"/>
      <c r="D238" s="243">
        <f>D227</f>
        <v>7353504.5454545468</v>
      </c>
      <c r="E238" s="15"/>
      <c r="F238" s="49">
        <f>SUM(F232:F237)</f>
        <v>545367.27272727271</v>
      </c>
      <c r="G238" s="49">
        <f t="shared" ref="G238:H238" si="110">SUM(G232:G237)</f>
        <v>225512.72727272726</v>
      </c>
      <c r="H238" s="49">
        <f t="shared" si="110"/>
        <v>225512.72727272726</v>
      </c>
    </row>
    <row r="239" spans="1:8" ht="17.100000000000001" customHeight="1">
      <c r="A239" s="14"/>
      <c r="B239" s="19" t="s">
        <v>104</v>
      </c>
      <c r="C239" s="315"/>
      <c r="D239" s="315"/>
      <c r="E239" s="15"/>
      <c r="F239" s="49">
        <f>H228-F238</f>
        <v>1127563.6363636381</v>
      </c>
      <c r="G239" s="49">
        <f>F239-G238</f>
        <v>902050.90909091081</v>
      </c>
      <c r="H239" s="49">
        <f>G239-H238</f>
        <v>676538.18181818351</v>
      </c>
    </row>
    <row r="240" spans="1:8" ht="17.100000000000001" customHeight="1"/>
    <row r="241" spans="1:8" ht="50.1" customHeight="1">
      <c r="A241" s="174" t="s">
        <v>1</v>
      </c>
      <c r="B241" s="174" t="s">
        <v>100</v>
      </c>
      <c r="C241" s="174" t="s">
        <v>106</v>
      </c>
      <c r="D241" s="174" t="s">
        <v>95</v>
      </c>
      <c r="E241" s="174" t="s">
        <v>101</v>
      </c>
      <c r="F241" s="172" t="s">
        <v>57</v>
      </c>
      <c r="G241" s="172" t="s">
        <v>58</v>
      </c>
      <c r="H241" s="172" t="s">
        <v>59</v>
      </c>
    </row>
    <row r="242" spans="1:8" ht="17.100000000000001" customHeight="1">
      <c r="A242" s="19" t="s">
        <v>38</v>
      </c>
      <c r="B242" s="19" t="s">
        <v>39</v>
      </c>
      <c r="C242" s="170" t="s">
        <v>40</v>
      </c>
      <c r="D242" s="170" t="s">
        <v>105</v>
      </c>
      <c r="E242" s="170" t="s">
        <v>425</v>
      </c>
      <c r="F242" s="19">
        <v>13</v>
      </c>
      <c r="G242" s="19">
        <v>14</v>
      </c>
      <c r="H242" s="19">
        <v>15</v>
      </c>
    </row>
    <row r="243" spans="1:8" ht="17.100000000000001" customHeight="1">
      <c r="A243" s="14">
        <v>1</v>
      </c>
      <c r="B243" s="22" t="str">
        <f>B232</f>
        <v>Nhà xưởng, nhà điều hành</v>
      </c>
      <c r="C243" s="298">
        <f>C232</f>
        <v>15</v>
      </c>
      <c r="D243" s="153">
        <f t="shared" ref="D243:E243" si="111">D232</f>
        <v>3382690.9090909092</v>
      </c>
      <c r="E243" s="110">
        <f t="shared" si="111"/>
        <v>6.6666666666666666E-2</v>
      </c>
      <c r="F243" s="47">
        <f>E243*D243</f>
        <v>225512.72727272726</v>
      </c>
      <c r="G243" s="48">
        <f>F243</f>
        <v>225512.72727272726</v>
      </c>
      <c r="H243" s="48">
        <f>G243</f>
        <v>225512.72727272726</v>
      </c>
    </row>
    <row r="244" spans="1:8" ht="17.100000000000001" customHeight="1">
      <c r="A244" s="14">
        <v>2</v>
      </c>
      <c r="B244" s="171" t="str">
        <f t="shared" ref="B244:E248" si="112">B233</f>
        <v>Thiết bị kiểm định</v>
      </c>
      <c r="C244" s="298">
        <f t="shared" si="112"/>
        <v>6</v>
      </c>
      <c r="D244" s="153">
        <f t="shared" si="112"/>
        <v>623031.81818181812</v>
      </c>
      <c r="E244" s="110">
        <f t="shared" si="112"/>
        <v>0.16666666666666666</v>
      </c>
      <c r="F244" s="47">
        <v>0</v>
      </c>
      <c r="G244" s="48">
        <v>0</v>
      </c>
      <c r="H244" s="48">
        <f>G244</f>
        <v>0</v>
      </c>
    </row>
    <row r="245" spans="1:8" ht="17.100000000000001" customHeight="1">
      <c r="A245" s="176">
        <v>3</v>
      </c>
      <c r="B245" s="171" t="str">
        <f t="shared" si="112"/>
        <v>Nhà để xe</v>
      </c>
      <c r="C245" s="298">
        <f t="shared" si="112"/>
        <v>6</v>
      </c>
      <c r="D245" s="153">
        <f t="shared" si="112"/>
        <v>149236.36363636362</v>
      </c>
      <c r="E245" s="110">
        <f t="shared" si="112"/>
        <v>0.16666666666666666</v>
      </c>
      <c r="F245" s="47">
        <v>0</v>
      </c>
      <c r="G245" s="47">
        <f>F245</f>
        <v>0</v>
      </c>
      <c r="H245" s="47">
        <f>G245</f>
        <v>0</v>
      </c>
    </row>
    <row r="246" spans="1:8" ht="17.100000000000001" customHeight="1">
      <c r="A246" s="176">
        <v>4</v>
      </c>
      <c r="B246" s="171" t="str">
        <f t="shared" si="112"/>
        <v>Xưởng làm lốp</v>
      </c>
      <c r="C246" s="298">
        <f t="shared" si="112"/>
        <v>10</v>
      </c>
      <c r="D246" s="153">
        <f t="shared" si="112"/>
        <v>600000</v>
      </c>
      <c r="E246" s="253">
        <f t="shared" si="112"/>
        <v>0.1</v>
      </c>
      <c r="F246" s="47">
        <v>0</v>
      </c>
      <c r="G246" s="47">
        <f t="shared" ref="G246:H246" si="113">F246</f>
        <v>0</v>
      </c>
      <c r="H246" s="47">
        <f t="shared" si="113"/>
        <v>0</v>
      </c>
    </row>
    <row r="247" spans="1:8" ht="17.100000000000001" customHeight="1">
      <c r="A247" s="61">
        <v>5</v>
      </c>
      <c r="B247" s="180" t="str">
        <f t="shared" si="112"/>
        <v>Bãi đỗ xe, đường ra vào</v>
      </c>
      <c r="C247" s="299">
        <f t="shared" si="112"/>
        <v>10</v>
      </c>
      <c r="D247" s="244">
        <f t="shared" si="112"/>
        <v>2598545.4545454546</v>
      </c>
      <c r="E247" s="280">
        <f t="shared" si="112"/>
        <v>0.1</v>
      </c>
      <c r="F247" s="63">
        <v>0</v>
      </c>
      <c r="G247" s="63">
        <f t="shared" ref="G247:H248" si="114">F247</f>
        <v>0</v>
      </c>
      <c r="H247" s="63">
        <f t="shared" si="114"/>
        <v>0</v>
      </c>
    </row>
    <row r="248" spans="1:8" ht="17.100000000000001" customHeight="1">
      <c r="A248" s="61">
        <v>6</v>
      </c>
      <c r="B248" s="180" t="str">
        <f t="shared" si="112"/>
        <v>Phụ trợ</v>
      </c>
      <c r="C248" s="300">
        <f t="shared" si="112"/>
        <v>6</v>
      </c>
      <c r="D248" s="244">
        <f t="shared" si="112"/>
        <v>444257.54545454541</v>
      </c>
      <c r="E248" s="281">
        <f t="shared" si="112"/>
        <v>0.16666666666666666</v>
      </c>
      <c r="F248" s="63">
        <v>0</v>
      </c>
      <c r="G248" s="63">
        <f t="shared" si="114"/>
        <v>0</v>
      </c>
      <c r="H248" s="63">
        <f t="shared" si="114"/>
        <v>0</v>
      </c>
    </row>
    <row r="249" spans="1:8" ht="17.100000000000001" customHeight="1">
      <c r="A249" s="176"/>
      <c r="B249" s="19" t="s">
        <v>103</v>
      </c>
      <c r="C249" s="240"/>
      <c r="D249" s="243">
        <f t="shared" ref="D249" si="115">D238</f>
        <v>7353504.5454545468</v>
      </c>
      <c r="E249" s="46"/>
      <c r="F249" s="49">
        <f>SUM(F243:F248)</f>
        <v>225512.72727272726</v>
      </c>
      <c r="G249" s="49">
        <f t="shared" ref="G249:H249" si="116">SUM(G243:G248)</f>
        <v>225512.72727272726</v>
      </c>
      <c r="H249" s="49">
        <f t="shared" si="116"/>
        <v>225512.72727272726</v>
      </c>
    </row>
    <row r="250" spans="1:8" ht="17.100000000000001" customHeight="1">
      <c r="A250" s="14"/>
      <c r="B250" s="19" t="s">
        <v>104</v>
      </c>
      <c r="C250" s="247"/>
      <c r="D250" s="248"/>
      <c r="E250" s="15"/>
      <c r="F250" s="49">
        <f>H239-F249</f>
        <v>451025.45454545622</v>
      </c>
      <c r="G250" s="49">
        <f>F250-G249</f>
        <v>225512.72727272895</v>
      </c>
      <c r="H250" s="49">
        <f>G250-H249</f>
        <v>1.6880221664905548E-9</v>
      </c>
    </row>
    <row r="251" spans="1:8" ht="17.100000000000001" customHeight="1"/>
    <row r="252" spans="1:8" ht="50.1" hidden="1" customHeight="1">
      <c r="A252" s="174" t="s">
        <v>1</v>
      </c>
      <c r="B252" s="174" t="s">
        <v>100</v>
      </c>
      <c r="C252" s="174" t="s">
        <v>106</v>
      </c>
      <c r="D252" s="174" t="s">
        <v>95</v>
      </c>
      <c r="E252" s="174" t="s">
        <v>101</v>
      </c>
      <c r="F252" s="172" t="s">
        <v>107</v>
      </c>
      <c r="G252" s="172" t="s">
        <v>108</v>
      </c>
      <c r="H252" s="172" t="s">
        <v>109</v>
      </c>
    </row>
    <row r="253" spans="1:8" ht="17.100000000000001" hidden="1" customHeight="1">
      <c r="A253" s="170" t="s">
        <v>38</v>
      </c>
      <c r="B253" s="170" t="s">
        <v>39</v>
      </c>
      <c r="C253" s="178" t="s">
        <v>40</v>
      </c>
      <c r="D253" s="179" t="s">
        <v>105</v>
      </c>
      <c r="E253" s="170" t="s">
        <v>425</v>
      </c>
      <c r="F253" s="19">
        <v>16</v>
      </c>
      <c r="G253" s="19">
        <v>17</v>
      </c>
      <c r="H253" s="19">
        <v>18</v>
      </c>
    </row>
    <row r="254" spans="1:8" ht="17.100000000000001" hidden="1" customHeight="1">
      <c r="A254" s="14">
        <v>1</v>
      </c>
      <c r="B254" s="22" t="str">
        <f t="shared" ref="B254:E259" si="117">B243</f>
        <v>Nhà xưởng, nhà điều hành</v>
      </c>
      <c r="C254" s="298">
        <f t="shared" si="117"/>
        <v>15</v>
      </c>
      <c r="D254" s="153">
        <f t="shared" si="117"/>
        <v>3382690.9090909092</v>
      </c>
      <c r="E254" s="46">
        <f t="shared" si="117"/>
        <v>6.6666666666666666E-2</v>
      </c>
      <c r="F254" s="47">
        <f>E254*D254</f>
        <v>225512.72727272726</v>
      </c>
      <c r="G254" s="48">
        <f>F254</f>
        <v>225512.72727272726</v>
      </c>
      <c r="H254" s="48">
        <f>G254</f>
        <v>225512.72727272726</v>
      </c>
    </row>
    <row r="255" spans="1:8" ht="17.100000000000001" hidden="1" customHeight="1">
      <c r="A255" s="14">
        <v>2</v>
      </c>
      <c r="B255" s="171" t="str">
        <f t="shared" si="117"/>
        <v>Thiết bị kiểm định</v>
      </c>
      <c r="C255" s="298">
        <f t="shared" si="117"/>
        <v>6</v>
      </c>
      <c r="D255" s="153">
        <f t="shared" si="117"/>
        <v>623031.81818181812</v>
      </c>
      <c r="E255" s="46">
        <f t="shared" si="117"/>
        <v>0.16666666666666666</v>
      </c>
      <c r="F255" s="47">
        <v>0</v>
      </c>
      <c r="G255" s="48">
        <f t="shared" ref="G255:H255" si="118">F255</f>
        <v>0</v>
      </c>
      <c r="H255" s="48">
        <f t="shared" si="118"/>
        <v>0</v>
      </c>
    </row>
    <row r="256" spans="1:8" ht="17.100000000000001" hidden="1" customHeight="1">
      <c r="A256" s="176">
        <v>3</v>
      </c>
      <c r="B256" s="171" t="str">
        <f t="shared" si="117"/>
        <v>Nhà để xe</v>
      </c>
      <c r="C256" s="298">
        <f t="shared" si="117"/>
        <v>6</v>
      </c>
      <c r="D256" s="153">
        <f t="shared" si="117"/>
        <v>149236.36363636362</v>
      </c>
      <c r="E256" s="110">
        <f t="shared" si="117"/>
        <v>0.16666666666666666</v>
      </c>
      <c r="F256" s="47">
        <v>0</v>
      </c>
      <c r="G256" s="48">
        <f t="shared" ref="G256:H256" si="119">F256</f>
        <v>0</v>
      </c>
      <c r="H256" s="48">
        <f t="shared" si="119"/>
        <v>0</v>
      </c>
    </row>
    <row r="257" spans="1:8" ht="17.100000000000001" hidden="1" customHeight="1">
      <c r="A257" s="176">
        <v>4</v>
      </c>
      <c r="B257" s="171" t="str">
        <f t="shared" si="117"/>
        <v>Xưởng làm lốp</v>
      </c>
      <c r="C257" s="298">
        <f t="shared" si="117"/>
        <v>10</v>
      </c>
      <c r="D257" s="153">
        <f t="shared" si="117"/>
        <v>600000</v>
      </c>
      <c r="E257" s="110">
        <f t="shared" si="117"/>
        <v>0.1</v>
      </c>
      <c r="F257" s="47">
        <v>0</v>
      </c>
      <c r="G257" s="48">
        <f t="shared" ref="G257:H257" si="120">F257</f>
        <v>0</v>
      </c>
      <c r="H257" s="48">
        <f t="shared" si="120"/>
        <v>0</v>
      </c>
    </row>
    <row r="258" spans="1:8" ht="50.1" hidden="1" customHeight="1">
      <c r="A258" s="61">
        <v>5</v>
      </c>
      <c r="B258" s="180" t="str">
        <f t="shared" si="117"/>
        <v>Bãi đỗ xe, đường ra vào</v>
      </c>
      <c r="C258" s="299">
        <f t="shared" si="117"/>
        <v>10</v>
      </c>
      <c r="D258" s="244">
        <f t="shared" si="117"/>
        <v>2598545.4545454546</v>
      </c>
      <c r="E258" s="245">
        <f t="shared" si="117"/>
        <v>0.1</v>
      </c>
      <c r="F258" s="63">
        <f t="shared" ref="F258" si="121">E258*D258</f>
        <v>259854.54545454547</v>
      </c>
      <c r="G258" s="246">
        <f t="shared" ref="G258:H259" si="122">F258</f>
        <v>259854.54545454547</v>
      </c>
      <c r="H258" s="246">
        <f t="shared" si="122"/>
        <v>259854.54545454547</v>
      </c>
    </row>
    <row r="259" spans="1:8" ht="17.100000000000001" hidden="1" customHeight="1">
      <c r="A259" s="61">
        <v>6</v>
      </c>
      <c r="B259" s="180" t="str">
        <f t="shared" si="117"/>
        <v>Phụ trợ</v>
      </c>
      <c r="C259" s="300">
        <f t="shared" si="117"/>
        <v>6</v>
      </c>
      <c r="D259" s="244">
        <f t="shared" si="117"/>
        <v>444257.54545454541</v>
      </c>
      <c r="E259" s="245">
        <f t="shared" si="117"/>
        <v>0.16666666666666666</v>
      </c>
      <c r="F259" s="63">
        <v>0</v>
      </c>
      <c r="G259" s="246">
        <f t="shared" si="122"/>
        <v>0</v>
      </c>
      <c r="H259" s="246">
        <f t="shared" si="122"/>
        <v>0</v>
      </c>
    </row>
    <row r="260" spans="1:8" ht="17.100000000000001" hidden="1" customHeight="1">
      <c r="A260" s="14"/>
      <c r="B260" s="19" t="s">
        <v>103</v>
      </c>
      <c r="C260" s="242"/>
      <c r="D260" s="243">
        <f t="shared" ref="D260" si="123">D249</f>
        <v>7353504.5454545468</v>
      </c>
      <c r="E260" s="15"/>
      <c r="F260" s="49">
        <f>SUM(F254:F259)</f>
        <v>485367.27272727271</v>
      </c>
      <c r="G260" s="49">
        <f t="shared" ref="G260:H260" si="124">SUM(G254:G259)</f>
        <v>485367.27272727271</v>
      </c>
      <c r="H260" s="49">
        <f t="shared" si="124"/>
        <v>485367.27272727271</v>
      </c>
    </row>
    <row r="261" spans="1:8" ht="17.100000000000001" hidden="1" customHeight="1">
      <c r="A261" s="14"/>
      <c r="B261" s="19" t="s">
        <v>104</v>
      </c>
      <c r="C261" s="315"/>
      <c r="D261" s="315"/>
      <c r="E261" s="15"/>
      <c r="F261" s="49">
        <f>H250-F260</f>
        <v>-485367.27272727102</v>
      </c>
      <c r="G261" s="49">
        <f>F261-G260</f>
        <v>-970734.54545454378</v>
      </c>
      <c r="H261" s="49">
        <f>G261-H260</f>
        <v>-1456101.8181818165</v>
      </c>
    </row>
    <row r="262" spans="1:8" ht="17.100000000000001" hidden="1" customHeight="1"/>
    <row r="263" spans="1:8" ht="50.1" hidden="1" customHeight="1">
      <c r="A263" s="174" t="s">
        <v>1</v>
      </c>
      <c r="B263" s="174" t="s">
        <v>100</v>
      </c>
      <c r="C263" s="174" t="s">
        <v>106</v>
      </c>
      <c r="D263" s="174" t="s">
        <v>95</v>
      </c>
      <c r="E263" s="174" t="s">
        <v>101</v>
      </c>
      <c r="F263" s="19" t="s">
        <v>110</v>
      </c>
      <c r="G263" s="19" t="s">
        <v>111</v>
      </c>
      <c r="H263" s="19" t="s">
        <v>112</v>
      </c>
    </row>
    <row r="264" spans="1:8" ht="17.100000000000001" hidden="1" customHeight="1">
      <c r="A264" s="170" t="s">
        <v>38</v>
      </c>
      <c r="B264" s="170" t="s">
        <v>39</v>
      </c>
      <c r="C264" s="170" t="s">
        <v>40</v>
      </c>
      <c r="D264" s="170" t="s">
        <v>105</v>
      </c>
      <c r="E264" s="170" t="s">
        <v>425</v>
      </c>
      <c r="F264" s="19">
        <v>19</v>
      </c>
      <c r="G264" s="19">
        <v>20</v>
      </c>
      <c r="H264" s="19">
        <v>21</v>
      </c>
    </row>
    <row r="265" spans="1:8" ht="17.100000000000001" hidden="1" customHeight="1">
      <c r="A265" s="14">
        <v>1</v>
      </c>
      <c r="B265" s="22" t="str">
        <f>B254</f>
        <v>Nhà xưởng, nhà điều hành</v>
      </c>
      <c r="C265" s="298">
        <f>C254</f>
        <v>15</v>
      </c>
      <c r="D265" s="153">
        <f>D254</f>
        <v>3382690.9090909092</v>
      </c>
      <c r="E265" s="46">
        <f>E254</f>
        <v>6.6666666666666666E-2</v>
      </c>
      <c r="F265" s="47">
        <f>E265*D265</f>
        <v>225512.72727272726</v>
      </c>
      <c r="G265" s="48">
        <f>F265</f>
        <v>225512.72727272726</v>
      </c>
      <c r="H265" s="48">
        <f>G265</f>
        <v>225512.72727272726</v>
      </c>
    </row>
    <row r="266" spans="1:8" ht="17.100000000000001" hidden="1" customHeight="1">
      <c r="A266" s="14">
        <v>2</v>
      </c>
      <c r="B266" s="171" t="str">
        <f t="shared" ref="B266:E270" si="125">B255</f>
        <v>Thiết bị kiểm định</v>
      </c>
      <c r="C266" s="298">
        <f t="shared" si="125"/>
        <v>6</v>
      </c>
      <c r="D266" s="153">
        <f t="shared" si="125"/>
        <v>623031.81818181812</v>
      </c>
      <c r="E266" s="46">
        <f t="shared" si="125"/>
        <v>0.16666666666666666</v>
      </c>
      <c r="F266" s="47">
        <v>0</v>
      </c>
      <c r="G266" s="48">
        <f t="shared" ref="G266:H266" si="126">F266</f>
        <v>0</v>
      </c>
      <c r="H266" s="48">
        <f t="shared" si="126"/>
        <v>0</v>
      </c>
    </row>
    <row r="267" spans="1:8" ht="17.100000000000001" hidden="1" customHeight="1">
      <c r="A267" s="176">
        <v>3</v>
      </c>
      <c r="B267" s="171" t="str">
        <f t="shared" si="125"/>
        <v>Nhà để xe</v>
      </c>
      <c r="C267" s="298">
        <f t="shared" si="125"/>
        <v>6</v>
      </c>
      <c r="D267" s="153">
        <f t="shared" si="125"/>
        <v>149236.36363636362</v>
      </c>
      <c r="E267" s="110">
        <f t="shared" si="125"/>
        <v>0.16666666666666666</v>
      </c>
      <c r="F267" s="47">
        <v>0</v>
      </c>
      <c r="G267" s="48">
        <f t="shared" ref="G267:H267" si="127">F267</f>
        <v>0</v>
      </c>
      <c r="H267" s="48">
        <f t="shared" si="127"/>
        <v>0</v>
      </c>
    </row>
    <row r="268" spans="1:8" ht="17.100000000000001" hidden="1" customHeight="1">
      <c r="A268" s="176">
        <v>4</v>
      </c>
      <c r="B268" s="171" t="str">
        <f t="shared" si="125"/>
        <v>Xưởng làm lốp</v>
      </c>
      <c r="C268" s="298">
        <f t="shared" si="125"/>
        <v>10</v>
      </c>
      <c r="D268" s="153">
        <f t="shared" si="125"/>
        <v>600000</v>
      </c>
      <c r="E268" s="110">
        <f t="shared" si="125"/>
        <v>0.1</v>
      </c>
      <c r="F268" s="47">
        <v>0</v>
      </c>
      <c r="G268" s="48">
        <f t="shared" ref="G268:H268" si="128">F268</f>
        <v>0</v>
      </c>
      <c r="H268" s="48">
        <f t="shared" si="128"/>
        <v>0</v>
      </c>
    </row>
    <row r="269" spans="1:8" ht="50.1" hidden="1" customHeight="1">
      <c r="A269" s="61">
        <v>5</v>
      </c>
      <c r="B269" s="180" t="str">
        <f t="shared" si="125"/>
        <v>Bãi đỗ xe, đường ra vào</v>
      </c>
      <c r="C269" s="299">
        <f t="shared" si="125"/>
        <v>10</v>
      </c>
      <c r="D269" s="244">
        <f t="shared" si="125"/>
        <v>2598545.4545454546</v>
      </c>
      <c r="E269" s="245">
        <f t="shared" si="125"/>
        <v>0.1</v>
      </c>
      <c r="F269" s="63">
        <f t="shared" ref="F269" si="129">E269*D269</f>
        <v>259854.54545454547</v>
      </c>
      <c r="G269" s="246">
        <f t="shared" ref="G269:G270" si="130">F269</f>
        <v>259854.54545454547</v>
      </c>
      <c r="H269" s="246">
        <v>0</v>
      </c>
    </row>
    <row r="270" spans="1:8" ht="17.100000000000001" hidden="1" customHeight="1">
      <c r="A270" s="61">
        <v>6</v>
      </c>
      <c r="B270" s="180" t="str">
        <f t="shared" si="125"/>
        <v>Phụ trợ</v>
      </c>
      <c r="C270" s="300">
        <f t="shared" si="125"/>
        <v>6</v>
      </c>
      <c r="D270" s="244">
        <f t="shared" si="125"/>
        <v>444257.54545454541</v>
      </c>
      <c r="E270" s="245">
        <f t="shared" si="125"/>
        <v>0.16666666666666666</v>
      </c>
      <c r="F270" s="63">
        <v>0</v>
      </c>
      <c r="G270" s="246">
        <f t="shared" si="130"/>
        <v>0</v>
      </c>
      <c r="H270" s="246">
        <f>G270</f>
        <v>0</v>
      </c>
    </row>
    <row r="271" spans="1:8" ht="17.100000000000001" hidden="1" customHeight="1">
      <c r="A271" s="14"/>
      <c r="B271" s="19" t="s">
        <v>103</v>
      </c>
      <c r="C271" s="242"/>
      <c r="D271" s="249">
        <f>D260</f>
        <v>7353504.5454545468</v>
      </c>
      <c r="E271" s="15"/>
      <c r="F271" s="49">
        <f>SUM(F265:F270)</f>
        <v>485367.27272727271</v>
      </c>
      <c r="G271" s="49">
        <f t="shared" ref="G271:H271" si="131">SUM(G265:G270)</f>
        <v>485367.27272727271</v>
      </c>
      <c r="H271" s="49">
        <f t="shared" si="131"/>
        <v>225512.72727272726</v>
      </c>
    </row>
    <row r="272" spans="1:8" ht="17.100000000000001" hidden="1" customHeight="1">
      <c r="A272" s="14"/>
      <c r="B272" s="19" t="s">
        <v>104</v>
      </c>
      <c r="C272" s="315"/>
      <c r="D272" s="315"/>
      <c r="E272" s="15"/>
      <c r="F272" s="49">
        <f>H261-F271</f>
        <v>-1941469.0909090892</v>
      </c>
      <c r="G272" s="49">
        <f>F272-G271</f>
        <v>-2426836.3636363619</v>
      </c>
      <c r="H272" s="49">
        <f>G272-H271</f>
        <v>-2652349.090909089</v>
      </c>
    </row>
    <row r="273" spans="1:8" ht="17.100000000000001" hidden="1" customHeight="1"/>
    <row r="274" spans="1:8" ht="50.1" hidden="1" customHeight="1">
      <c r="A274" s="174" t="s">
        <v>1</v>
      </c>
      <c r="B274" s="174" t="s">
        <v>100</v>
      </c>
      <c r="C274" s="174" t="s">
        <v>106</v>
      </c>
      <c r="D274" s="174" t="s">
        <v>95</v>
      </c>
      <c r="E274" s="174" t="s">
        <v>101</v>
      </c>
      <c r="F274" s="19" t="s">
        <v>113</v>
      </c>
      <c r="G274" s="19" t="s">
        <v>114</v>
      </c>
      <c r="H274" s="19" t="s">
        <v>115</v>
      </c>
    </row>
    <row r="275" spans="1:8" ht="17.100000000000001" hidden="1" customHeight="1">
      <c r="A275" s="170" t="s">
        <v>38</v>
      </c>
      <c r="B275" s="170" t="s">
        <v>39</v>
      </c>
      <c r="C275" s="170" t="s">
        <v>40</v>
      </c>
      <c r="D275" s="170" t="s">
        <v>105</v>
      </c>
      <c r="E275" s="170" t="s">
        <v>425</v>
      </c>
      <c r="F275" s="19">
        <v>22</v>
      </c>
      <c r="G275" s="19">
        <v>23</v>
      </c>
      <c r="H275" s="19">
        <v>24</v>
      </c>
    </row>
    <row r="276" spans="1:8" ht="17.100000000000001" hidden="1" customHeight="1">
      <c r="A276" s="14">
        <v>1</v>
      </c>
      <c r="B276" s="22" t="str">
        <f t="shared" ref="B276:E281" si="132">B265</f>
        <v>Nhà xưởng, nhà điều hành</v>
      </c>
      <c r="C276" s="298">
        <f t="shared" si="132"/>
        <v>15</v>
      </c>
      <c r="D276" s="153">
        <f t="shared" si="132"/>
        <v>3382690.9090909092</v>
      </c>
      <c r="E276" s="46">
        <f t="shared" si="132"/>
        <v>6.6666666666666666E-2</v>
      </c>
      <c r="F276" s="47">
        <f>E276*D276</f>
        <v>225512.72727272726</v>
      </c>
      <c r="G276" s="48">
        <f>F276</f>
        <v>225512.72727272726</v>
      </c>
      <c r="H276" s="48">
        <f>G276</f>
        <v>225512.72727272726</v>
      </c>
    </row>
    <row r="277" spans="1:8" ht="17.100000000000001" hidden="1" customHeight="1">
      <c r="A277" s="14">
        <v>2</v>
      </c>
      <c r="B277" s="171" t="str">
        <f t="shared" si="132"/>
        <v>Thiết bị kiểm định</v>
      </c>
      <c r="C277" s="298">
        <f t="shared" si="132"/>
        <v>6</v>
      </c>
      <c r="D277" s="153">
        <f t="shared" si="132"/>
        <v>623031.81818181812</v>
      </c>
      <c r="E277" s="46">
        <f t="shared" si="132"/>
        <v>0.16666666666666666</v>
      </c>
      <c r="F277" s="47">
        <v>0</v>
      </c>
      <c r="G277" s="48">
        <f t="shared" ref="G277:H277" si="133">F277</f>
        <v>0</v>
      </c>
      <c r="H277" s="48">
        <f t="shared" si="133"/>
        <v>0</v>
      </c>
    </row>
    <row r="278" spans="1:8" ht="17.100000000000001" hidden="1" customHeight="1">
      <c r="A278" s="176">
        <v>3</v>
      </c>
      <c r="B278" s="171" t="str">
        <f t="shared" si="132"/>
        <v>Nhà để xe</v>
      </c>
      <c r="C278" s="298">
        <f t="shared" si="132"/>
        <v>6</v>
      </c>
      <c r="D278" s="153">
        <f t="shared" si="132"/>
        <v>149236.36363636362</v>
      </c>
      <c r="E278" s="110">
        <f t="shared" si="132"/>
        <v>0.16666666666666666</v>
      </c>
      <c r="F278" s="47">
        <v>0</v>
      </c>
      <c r="G278" s="48">
        <f t="shared" ref="G278:H278" si="134">F278</f>
        <v>0</v>
      </c>
      <c r="H278" s="48">
        <f t="shared" si="134"/>
        <v>0</v>
      </c>
    </row>
    <row r="279" spans="1:8" ht="17.100000000000001" hidden="1" customHeight="1">
      <c r="A279" s="176">
        <v>4</v>
      </c>
      <c r="B279" s="171" t="str">
        <f t="shared" si="132"/>
        <v>Xưởng làm lốp</v>
      </c>
      <c r="C279" s="298">
        <f t="shared" si="132"/>
        <v>10</v>
      </c>
      <c r="D279" s="153">
        <f t="shared" si="132"/>
        <v>600000</v>
      </c>
      <c r="E279" s="110">
        <f t="shared" si="132"/>
        <v>0.1</v>
      </c>
      <c r="F279" s="47">
        <v>0</v>
      </c>
      <c r="G279" s="48">
        <f t="shared" ref="G279:H279" si="135">F279</f>
        <v>0</v>
      </c>
      <c r="H279" s="48">
        <f t="shared" si="135"/>
        <v>0</v>
      </c>
    </row>
    <row r="280" spans="1:8" s="251" customFormat="1" ht="50.1" hidden="1" customHeight="1">
      <c r="A280" s="61">
        <v>5</v>
      </c>
      <c r="B280" s="250" t="str">
        <f t="shared" si="132"/>
        <v>Bãi đỗ xe, đường ra vào</v>
      </c>
      <c r="C280" s="299">
        <f t="shared" si="132"/>
        <v>10</v>
      </c>
      <c r="D280" s="244">
        <f t="shared" si="132"/>
        <v>2598545.4545454546</v>
      </c>
      <c r="E280" s="245">
        <f t="shared" si="132"/>
        <v>0.1</v>
      </c>
      <c r="F280" s="63">
        <v>0</v>
      </c>
      <c r="G280" s="246">
        <f t="shared" ref="G280:H281" si="136">F280</f>
        <v>0</v>
      </c>
      <c r="H280" s="246">
        <f t="shared" si="136"/>
        <v>0</v>
      </c>
    </row>
    <row r="281" spans="1:8" s="251" customFormat="1" ht="17.100000000000001" hidden="1" customHeight="1">
      <c r="A281" s="61">
        <v>6</v>
      </c>
      <c r="B281" s="250" t="str">
        <f t="shared" si="132"/>
        <v>Phụ trợ</v>
      </c>
      <c r="C281" s="300">
        <f t="shared" si="132"/>
        <v>6</v>
      </c>
      <c r="D281" s="244">
        <f t="shared" si="132"/>
        <v>444257.54545454541</v>
      </c>
      <c r="E281" s="245">
        <f t="shared" si="132"/>
        <v>0.16666666666666666</v>
      </c>
      <c r="F281" s="63">
        <v>0</v>
      </c>
      <c r="G281" s="246">
        <f t="shared" si="136"/>
        <v>0</v>
      </c>
      <c r="H281" s="246">
        <f t="shared" si="136"/>
        <v>0</v>
      </c>
    </row>
    <row r="282" spans="1:8" ht="17.100000000000001" hidden="1" customHeight="1">
      <c r="A282" s="14"/>
      <c r="B282" s="19" t="s">
        <v>103</v>
      </c>
      <c r="C282" s="242"/>
      <c r="D282" s="249">
        <f t="shared" ref="D282" si="137">D271</f>
        <v>7353504.5454545468</v>
      </c>
      <c r="E282" s="15"/>
      <c r="F282" s="49">
        <f>SUM(F276:F281)</f>
        <v>225512.72727272726</v>
      </c>
      <c r="G282" s="49">
        <f t="shared" ref="G282:H282" si="138">SUM(G276:G281)</f>
        <v>225512.72727272726</v>
      </c>
      <c r="H282" s="49">
        <f t="shared" si="138"/>
        <v>225512.72727272726</v>
      </c>
    </row>
    <row r="283" spans="1:8" ht="17.100000000000001" hidden="1" customHeight="1">
      <c r="A283" s="14"/>
      <c r="B283" s="19" t="s">
        <v>104</v>
      </c>
      <c r="C283" s="315"/>
      <c r="D283" s="315"/>
      <c r="E283" s="15"/>
      <c r="F283" s="49">
        <f>H272-F282</f>
        <v>-2877861.818181816</v>
      </c>
      <c r="G283" s="49">
        <f>F283-G282</f>
        <v>-3103374.5454545431</v>
      </c>
      <c r="H283" s="49">
        <f>G283-H282</f>
        <v>-3328887.2727272701</v>
      </c>
    </row>
    <row r="284" spans="1:8" ht="17.100000000000001" hidden="1" customHeight="1"/>
    <row r="285" spans="1:8" ht="50.1" hidden="1" customHeight="1">
      <c r="A285" s="174" t="s">
        <v>1</v>
      </c>
      <c r="B285" s="174" t="s">
        <v>100</v>
      </c>
      <c r="C285" s="174" t="s">
        <v>106</v>
      </c>
      <c r="D285" s="174" t="s">
        <v>95</v>
      </c>
      <c r="E285" s="174" t="s">
        <v>101</v>
      </c>
      <c r="F285" s="19" t="s">
        <v>116</v>
      </c>
      <c r="G285" s="53"/>
      <c r="H285" s="50"/>
    </row>
    <row r="286" spans="1:8" ht="17.100000000000001" hidden="1" customHeight="1">
      <c r="A286" s="170" t="s">
        <v>38</v>
      </c>
      <c r="B286" s="170" t="s">
        <v>39</v>
      </c>
      <c r="C286" s="170" t="s">
        <v>40</v>
      </c>
      <c r="D286" s="170" t="s">
        <v>105</v>
      </c>
      <c r="E286" s="170" t="s">
        <v>425</v>
      </c>
      <c r="F286" s="19">
        <v>25</v>
      </c>
      <c r="G286" s="53"/>
      <c r="H286" s="50"/>
    </row>
    <row r="287" spans="1:8" ht="17.100000000000001" hidden="1" customHeight="1">
      <c r="A287" s="176">
        <v>1</v>
      </c>
      <c r="B287" s="22" t="str">
        <f>B276</f>
        <v>Nhà xưởng, nhà điều hành</v>
      </c>
      <c r="C287" s="298">
        <f>C276</f>
        <v>15</v>
      </c>
      <c r="D287" s="153">
        <f>D276</f>
        <v>3382690.9090909092</v>
      </c>
      <c r="E287" s="46">
        <f>E276</f>
        <v>6.6666666666666666E-2</v>
      </c>
      <c r="F287" s="47">
        <f>E287*D287</f>
        <v>225512.72727272726</v>
      </c>
      <c r="G287" s="54"/>
      <c r="H287" s="51"/>
    </row>
    <row r="288" spans="1:8" ht="17.100000000000001" hidden="1" customHeight="1">
      <c r="A288" s="176">
        <v>2</v>
      </c>
      <c r="B288" s="171" t="str">
        <f t="shared" ref="B288:E292" si="139">B277</f>
        <v>Thiết bị kiểm định</v>
      </c>
      <c r="C288" s="298">
        <f t="shared" si="139"/>
        <v>6</v>
      </c>
      <c r="D288" s="153">
        <f t="shared" si="139"/>
        <v>623031.81818181812</v>
      </c>
      <c r="E288" s="46">
        <f t="shared" si="139"/>
        <v>0.16666666666666666</v>
      </c>
      <c r="F288" s="47">
        <v>0</v>
      </c>
      <c r="G288" s="54"/>
      <c r="H288" s="51"/>
    </row>
    <row r="289" spans="1:8" ht="17.100000000000001" hidden="1" customHeight="1">
      <c r="A289" s="176">
        <v>3</v>
      </c>
      <c r="B289" s="171" t="str">
        <f t="shared" si="139"/>
        <v>Nhà để xe</v>
      </c>
      <c r="C289" s="298">
        <f t="shared" si="139"/>
        <v>6</v>
      </c>
      <c r="D289" s="153">
        <f t="shared" si="139"/>
        <v>149236.36363636362</v>
      </c>
      <c r="E289" s="110">
        <f t="shared" si="139"/>
        <v>0.16666666666666666</v>
      </c>
      <c r="F289" s="47">
        <v>0</v>
      </c>
      <c r="G289" s="54"/>
      <c r="H289" s="51"/>
    </row>
    <row r="290" spans="1:8" ht="17.100000000000001" hidden="1" customHeight="1">
      <c r="A290" s="176">
        <v>4</v>
      </c>
      <c r="B290" s="171" t="str">
        <f t="shared" si="139"/>
        <v>Xưởng làm lốp</v>
      </c>
      <c r="C290" s="298">
        <f t="shared" si="139"/>
        <v>10</v>
      </c>
      <c r="D290" s="153">
        <f t="shared" si="139"/>
        <v>600000</v>
      </c>
      <c r="E290" s="110">
        <f t="shared" si="139"/>
        <v>0.1</v>
      </c>
      <c r="F290" s="47">
        <v>0</v>
      </c>
      <c r="G290" s="54"/>
      <c r="H290" s="51"/>
    </row>
    <row r="291" spans="1:8" ht="50.1" hidden="1" customHeight="1">
      <c r="A291" s="61">
        <v>5</v>
      </c>
      <c r="B291" s="250" t="str">
        <f t="shared" si="139"/>
        <v>Bãi đỗ xe, đường ra vào</v>
      </c>
      <c r="C291" s="299">
        <f t="shared" si="139"/>
        <v>10</v>
      </c>
      <c r="D291" s="244">
        <f t="shared" si="139"/>
        <v>2598545.4545454546</v>
      </c>
      <c r="E291" s="245">
        <f t="shared" si="139"/>
        <v>0.1</v>
      </c>
      <c r="F291" s="63">
        <v>0</v>
      </c>
      <c r="G291" s="54"/>
      <c r="H291" s="51"/>
    </row>
    <row r="292" spans="1:8" ht="17.100000000000001" hidden="1" customHeight="1">
      <c r="A292" s="61">
        <v>6</v>
      </c>
      <c r="B292" s="250" t="str">
        <f t="shared" si="139"/>
        <v>Phụ trợ</v>
      </c>
      <c r="C292" s="300">
        <f t="shared" si="139"/>
        <v>6</v>
      </c>
      <c r="D292" s="244">
        <f t="shared" si="139"/>
        <v>444257.54545454541</v>
      </c>
      <c r="E292" s="245">
        <f t="shared" si="139"/>
        <v>0.16666666666666666</v>
      </c>
      <c r="F292" s="63">
        <v>0</v>
      </c>
      <c r="G292" s="54"/>
      <c r="H292" s="51"/>
    </row>
    <row r="293" spans="1:8" ht="17.100000000000001" hidden="1" customHeight="1">
      <c r="A293" s="14"/>
      <c r="B293" s="19" t="s">
        <v>103</v>
      </c>
      <c r="C293" s="242"/>
      <c r="D293" s="249">
        <f t="shared" ref="D293" si="140">D282</f>
        <v>7353504.5454545468</v>
      </c>
      <c r="E293" s="15"/>
      <c r="F293" s="49">
        <f>SUM(F287:F292)</f>
        <v>225512.72727272726</v>
      </c>
      <c r="G293" s="55"/>
      <c r="H293" s="52"/>
    </row>
    <row r="294" spans="1:8" ht="17.100000000000001" hidden="1" customHeight="1">
      <c r="A294" s="14"/>
      <c r="B294" s="19" t="s">
        <v>104</v>
      </c>
      <c r="C294" s="315"/>
      <c r="D294" s="315"/>
      <c r="E294" s="15"/>
      <c r="F294" s="56">
        <f>H283-F293</f>
        <v>-3554399.9999999972</v>
      </c>
      <c r="G294" s="55"/>
      <c r="H294" s="52"/>
    </row>
    <row r="295" spans="1:8" hidden="1"/>
    <row r="296" spans="1:8">
      <c r="A296" s="120" t="s">
        <v>355</v>
      </c>
      <c r="B296" s="119"/>
      <c r="C296" s="119"/>
      <c r="D296" s="119"/>
    </row>
    <row r="297" spans="1:8">
      <c r="A297" s="308" t="s">
        <v>356</v>
      </c>
      <c r="B297" s="308"/>
      <c r="C297" s="308"/>
      <c r="E297" s="215">
        <f>5800+6485</f>
        <v>12285</v>
      </c>
      <c r="F297" s="1" t="s">
        <v>357</v>
      </c>
    </row>
    <row r="298" spans="1:8">
      <c r="A298" s="308" t="s">
        <v>358</v>
      </c>
      <c r="B298" s="308"/>
      <c r="C298" s="308"/>
      <c r="E298" s="214">
        <v>11444</v>
      </c>
      <c r="F298" s="1" t="s">
        <v>359</v>
      </c>
    </row>
    <row r="299" spans="1:8">
      <c r="A299" s="308" t="s">
        <v>360</v>
      </c>
      <c r="B299" s="308"/>
      <c r="C299" s="308"/>
      <c r="D299" s="308"/>
      <c r="E299" s="5">
        <v>0.05</v>
      </c>
      <c r="F299" s="1" t="s">
        <v>72</v>
      </c>
    </row>
    <row r="300" spans="1:8">
      <c r="A300" s="127"/>
      <c r="B300" s="127"/>
      <c r="C300" s="127"/>
      <c r="D300" s="127"/>
      <c r="E300" s="5"/>
    </row>
    <row r="301" spans="1:8">
      <c r="A301" s="314" t="s">
        <v>175</v>
      </c>
      <c r="B301" s="314"/>
      <c r="C301" s="314"/>
      <c r="D301" s="314"/>
      <c r="E301" s="314"/>
      <c r="F301" s="314"/>
      <c r="G301" s="314"/>
      <c r="H301" s="314"/>
    </row>
    <row r="302" spans="1:8">
      <c r="A302" s="7" t="s">
        <v>117</v>
      </c>
      <c r="B302" s="7"/>
      <c r="C302" s="7"/>
      <c r="D302" s="2">
        <v>15</v>
      </c>
      <c r="E302" s="1" t="s">
        <v>118</v>
      </c>
    </row>
    <row r="303" spans="1:8">
      <c r="A303" s="7" t="s">
        <v>119</v>
      </c>
      <c r="B303" s="7"/>
      <c r="C303" s="7"/>
      <c r="D303" s="5">
        <v>0.2</v>
      </c>
      <c r="E303" s="1" t="s">
        <v>72</v>
      </c>
    </row>
    <row r="304" spans="1:8">
      <c r="A304" s="322" t="s">
        <v>264</v>
      </c>
      <c r="B304" s="322"/>
      <c r="C304" s="322"/>
      <c r="D304" s="322"/>
      <c r="E304" s="322"/>
      <c r="F304" s="322"/>
      <c r="G304" s="322"/>
      <c r="H304" s="322"/>
    </row>
    <row r="305" spans="1:8">
      <c r="A305" s="7"/>
      <c r="B305" s="7"/>
      <c r="C305" s="7"/>
      <c r="G305" s="29" t="s">
        <v>60</v>
      </c>
      <c r="H305" s="30" t="s">
        <v>61</v>
      </c>
    </row>
    <row r="306" spans="1:8" ht="18.95" customHeight="1">
      <c r="A306" s="209" t="s">
        <v>1</v>
      </c>
      <c r="B306" s="311" t="s">
        <v>120</v>
      </c>
      <c r="C306" s="311"/>
      <c r="D306" s="209" t="s">
        <v>33</v>
      </c>
      <c r="E306" s="209" t="s">
        <v>34</v>
      </c>
      <c r="F306" s="209" t="s">
        <v>35</v>
      </c>
      <c r="G306" s="209" t="s">
        <v>36</v>
      </c>
      <c r="H306" s="209" t="s">
        <v>37</v>
      </c>
    </row>
    <row r="307" spans="1:8" ht="18.95" customHeight="1">
      <c r="A307" s="57" t="s">
        <v>41</v>
      </c>
      <c r="B307" s="312" t="s">
        <v>121</v>
      </c>
      <c r="C307" s="312"/>
      <c r="D307" s="58">
        <f>D90</f>
        <v>4814592</v>
      </c>
      <c r="E307" s="58">
        <f t="shared" ref="E307:H307" si="141">E90</f>
        <v>5043321.5999999996</v>
      </c>
      <c r="F307" s="58">
        <f t="shared" si="141"/>
        <v>5283487.68</v>
      </c>
      <c r="G307" s="58">
        <f t="shared" si="141"/>
        <v>5535662.0640000012</v>
      </c>
      <c r="H307" s="58">
        <f t="shared" si="141"/>
        <v>5800445.1672</v>
      </c>
    </row>
    <row r="308" spans="1:8" ht="18.95" customHeight="1">
      <c r="A308" s="59" t="s">
        <v>43</v>
      </c>
      <c r="B308" s="309" t="s">
        <v>122</v>
      </c>
      <c r="C308" s="309"/>
      <c r="D308" s="60">
        <f>D309+D310+D311</f>
        <v>3610800.7006060602</v>
      </c>
      <c r="E308" s="60">
        <f t="shared" ref="E308:H308" si="142">E309+E310+E311</f>
        <v>3696677.9806060605</v>
      </c>
      <c r="F308" s="60">
        <f t="shared" si="142"/>
        <v>3785360.3086060607</v>
      </c>
      <c r="G308" s="60">
        <f t="shared" si="142"/>
        <v>3876943.2725260612</v>
      </c>
      <c r="H308" s="60">
        <f t="shared" si="142"/>
        <v>3971525.8997476613</v>
      </c>
    </row>
    <row r="309" spans="1:8" ht="18.95" customHeight="1">
      <c r="A309" s="61">
        <v>1</v>
      </c>
      <c r="B309" s="310" t="s">
        <v>123</v>
      </c>
      <c r="C309" s="310"/>
      <c r="D309" s="62">
        <f>F205</f>
        <v>748121.56060606067</v>
      </c>
      <c r="E309" s="62">
        <f>D309</f>
        <v>748121.56060606067</v>
      </c>
      <c r="F309" s="62">
        <f t="shared" ref="F309:H310" si="143">E309</f>
        <v>748121.56060606067</v>
      </c>
      <c r="G309" s="62">
        <f t="shared" si="143"/>
        <v>748121.56060606067</v>
      </c>
      <c r="H309" s="62">
        <f t="shared" si="143"/>
        <v>748121.56060606067</v>
      </c>
    </row>
    <row r="310" spans="1:8" ht="18.95" customHeight="1">
      <c r="A310" s="61">
        <v>2</v>
      </c>
      <c r="B310" s="310" t="s">
        <v>124</v>
      </c>
      <c r="C310" s="310"/>
      <c r="D310" s="216">
        <f>E297*E298/1000</f>
        <v>140589.54</v>
      </c>
      <c r="E310" s="217">
        <f>D310</f>
        <v>140589.54</v>
      </c>
      <c r="F310" s="217">
        <f t="shared" si="143"/>
        <v>140589.54</v>
      </c>
      <c r="G310" s="217">
        <f t="shared" si="143"/>
        <v>140589.54</v>
      </c>
      <c r="H310" s="217">
        <f t="shared" si="143"/>
        <v>140589.54</v>
      </c>
    </row>
    <row r="311" spans="1:8" ht="18.95" customHeight="1">
      <c r="A311" s="61">
        <v>3</v>
      </c>
      <c r="B311" s="310" t="s">
        <v>262</v>
      </c>
      <c r="C311" s="310"/>
      <c r="D311" s="62">
        <f>D174</f>
        <v>2722089.5999999996</v>
      </c>
      <c r="E311" s="62">
        <f t="shared" ref="E311:H311" si="144">E174</f>
        <v>2807966.88</v>
      </c>
      <c r="F311" s="62">
        <f t="shared" si="144"/>
        <v>2896649.2080000001</v>
      </c>
      <c r="G311" s="62">
        <f t="shared" si="144"/>
        <v>2988232.1719200006</v>
      </c>
      <c r="H311" s="62">
        <f t="shared" si="144"/>
        <v>3082814.7991416007</v>
      </c>
    </row>
    <row r="312" spans="1:8" ht="18.95" customHeight="1">
      <c r="A312" s="59" t="s">
        <v>125</v>
      </c>
      <c r="B312" s="309" t="s">
        <v>129</v>
      </c>
      <c r="C312" s="309"/>
      <c r="D312" s="64">
        <f>D307-D308</f>
        <v>1203791.2993939398</v>
      </c>
      <c r="E312" s="64">
        <f t="shared" ref="E312:H312" si="145">E307-E308</f>
        <v>1346643.6193939392</v>
      </c>
      <c r="F312" s="64">
        <f t="shared" si="145"/>
        <v>1498127.371393939</v>
      </c>
      <c r="G312" s="64">
        <f t="shared" si="145"/>
        <v>1658718.79147394</v>
      </c>
      <c r="H312" s="64">
        <f t="shared" si="145"/>
        <v>1828919.2674523387</v>
      </c>
    </row>
    <row r="313" spans="1:8" ht="18.95" customHeight="1">
      <c r="A313" s="61"/>
      <c r="B313" s="310" t="s">
        <v>126</v>
      </c>
      <c r="C313" s="310"/>
      <c r="D313" s="65">
        <f>D312*$D$303</f>
        <v>240758.25987878797</v>
      </c>
      <c r="E313" s="65">
        <f t="shared" ref="E313:H313" si="146">E312*$D$303</f>
        <v>269328.72387878783</v>
      </c>
      <c r="F313" s="65">
        <f t="shared" si="146"/>
        <v>299625.47427878779</v>
      </c>
      <c r="G313" s="65">
        <f t="shared" si="146"/>
        <v>331743.75829478801</v>
      </c>
      <c r="H313" s="65">
        <f t="shared" si="146"/>
        <v>365783.85349046777</v>
      </c>
    </row>
    <row r="314" spans="1:8" ht="18.95" customHeight="1">
      <c r="A314" s="59" t="s">
        <v>127</v>
      </c>
      <c r="B314" s="309" t="s">
        <v>128</v>
      </c>
      <c r="C314" s="309"/>
      <c r="D314" s="64">
        <f>D312-D313</f>
        <v>963033.03951515188</v>
      </c>
      <c r="E314" s="64">
        <f t="shared" ref="E314:H314" si="147">E312-E313</f>
        <v>1077314.8955151513</v>
      </c>
      <c r="F314" s="64">
        <f t="shared" si="147"/>
        <v>1198501.8971151512</v>
      </c>
      <c r="G314" s="64">
        <f t="shared" si="147"/>
        <v>1326975.0331791521</v>
      </c>
      <c r="H314" s="64">
        <f t="shared" si="147"/>
        <v>1463135.4139618711</v>
      </c>
    </row>
    <row r="315" spans="1:8" ht="21.95" customHeight="1">
      <c r="B315" s="313"/>
      <c r="C315" s="313"/>
    </row>
    <row r="316" spans="1:8">
      <c r="A316" s="209" t="s">
        <v>1</v>
      </c>
      <c r="B316" s="311" t="s">
        <v>120</v>
      </c>
      <c r="C316" s="311"/>
      <c r="D316" s="209" t="s">
        <v>50</v>
      </c>
      <c r="E316" s="209" t="s">
        <v>51</v>
      </c>
      <c r="F316" s="209" t="s">
        <v>52</v>
      </c>
      <c r="G316" s="209" t="s">
        <v>53</v>
      </c>
      <c r="H316" s="209" t="s">
        <v>54</v>
      </c>
    </row>
    <row r="317" spans="1:8">
      <c r="A317" s="57" t="s">
        <v>41</v>
      </c>
      <c r="B317" s="312" t="s">
        <v>121</v>
      </c>
      <c r="C317" s="312"/>
      <c r="D317" s="58">
        <f>D105</f>
        <v>6163076.277882481</v>
      </c>
      <c r="E317" s="58">
        <f t="shared" ref="E317:H317" si="148">E105</f>
        <v>6340048.5662189564</v>
      </c>
      <c r="F317" s="58">
        <f t="shared" si="148"/>
        <v>6522330.0232055252</v>
      </c>
      <c r="G317" s="58">
        <f t="shared" si="148"/>
        <v>6710079.923901692</v>
      </c>
      <c r="H317" s="58">
        <f t="shared" si="148"/>
        <v>6903462.3216187423</v>
      </c>
    </row>
    <row r="318" spans="1:8">
      <c r="A318" s="59" t="s">
        <v>43</v>
      </c>
      <c r="B318" s="309" t="s">
        <v>122</v>
      </c>
      <c r="C318" s="309"/>
      <c r="D318" s="60">
        <f>D319+D320+D321</f>
        <v>4080470.7085052333</v>
      </c>
      <c r="E318" s="60">
        <f t="shared" ref="E318" si="149">E319+E320+E321</f>
        <v>3972862.3245534208</v>
      </c>
      <c r="F318" s="60">
        <f t="shared" ref="F318" si="150">F319+F320+F321</f>
        <v>4070862.6055982057</v>
      </c>
      <c r="G318" s="60">
        <f t="shared" ref="G318" si="151">G319+G320+G321</f>
        <v>4171802.8950743331</v>
      </c>
      <c r="H318" s="60">
        <f t="shared" ref="H318" si="152">H319+H320+H321</f>
        <v>4275771.3932347447</v>
      </c>
    </row>
    <row r="319" spans="1:8">
      <c r="A319" s="61">
        <v>1</v>
      </c>
      <c r="B319" s="310" t="s">
        <v>123</v>
      </c>
      <c r="C319" s="310"/>
      <c r="D319" s="62">
        <f>H216</f>
        <v>748121.56060606067</v>
      </c>
      <c r="E319" s="62">
        <f>F227</f>
        <v>545367.27272727271</v>
      </c>
      <c r="F319" s="62">
        <f t="shared" ref="F319:H320" si="153">E319</f>
        <v>545367.27272727271</v>
      </c>
      <c r="G319" s="62">
        <f t="shared" si="153"/>
        <v>545367.27272727271</v>
      </c>
      <c r="H319" s="62">
        <f t="shared" si="153"/>
        <v>545367.27272727271</v>
      </c>
    </row>
    <row r="320" spans="1:8">
      <c r="A320" s="61">
        <v>2</v>
      </c>
      <c r="B320" s="310" t="s">
        <v>124</v>
      </c>
      <c r="C320" s="310"/>
      <c r="D320" s="216">
        <f>H310*(1+$E$299)</f>
        <v>147619.01700000002</v>
      </c>
      <c r="E320" s="217">
        <f>D320</f>
        <v>147619.01700000002</v>
      </c>
      <c r="F320" s="217">
        <f t="shared" si="153"/>
        <v>147619.01700000002</v>
      </c>
      <c r="G320" s="217">
        <f t="shared" si="153"/>
        <v>147619.01700000002</v>
      </c>
      <c r="H320" s="217">
        <f t="shared" si="153"/>
        <v>147619.01700000002</v>
      </c>
    </row>
    <row r="321" spans="1:8">
      <c r="A321" s="61">
        <v>3</v>
      </c>
      <c r="B321" s="310" t="s">
        <v>262</v>
      </c>
      <c r="C321" s="310"/>
      <c r="D321" s="62">
        <f>D182</f>
        <v>3184730.1308991727</v>
      </c>
      <c r="E321" s="62">
        <f t="shared" ref="E321:H321" si="154">E182</f>
        <v>3279876.0348261478</v>
      </c>
      <c r="F321" s="62">
        <f t="shared" si="154"/>
        <v>3377876.3158709328</v>
      </c>
      <c r="G321" s="62">
        <f t="shared" si="154"/>
        <v>3478816.6053470601</v>
      </c>
      <c r="H321" s="62">
        <f t="shared" si="154"/>
        <v>3582785.1035074722</v>
      </c>
    </row>
    <row r="322" spans="1:8">
      <c r="A322" s="59" t="s">
        <v>125</v>
      </c>
      <c r="B322" s="309" t="s">
        <v>129</v>
      </c>
      <c r="C322" s="309"/>
      <c r="D322" s="64">
        <f>D317-D318</f>
        <v>2082605.5693772477</v>
      </c>
      <c r="E322" s="64">
        <f t="shared" ref="E322:H322" si="155">E317-E318</f>
        <v>2367186.2416655356</v>
      </c>
      <c r="F322" s="64">
        <f t="shared" si="155"/>
        <v>2451467.4176073195</v>
      </c>
      <c r="G322" s="64">
        <f t="shared" si="155"/>
        <v>2538277.028827359</v>
      </c>
      <c r="H322" s="64">
        <f t="shared" si="155"/>
        <v>2627690.9283839976</v>
      </c>
    </row>
    <row r="323" spans="1:8">
      <c r="A323" s="61"/>
      <c r="B323" s="310" t="s">
        <v>126</v>
      </c>
      <c r="C323" s="310"/>
      <c r="D323" s="65">
        <f>D322*$D$303</f>
        <v>416521.11387544958</v>
      </c>
      <c r="E323" s="65">
        <f t="shared" ref="E323" si="156">E322*$D$303</f>
        <v>473437.24833310716</v>
      </c>
      <c r="F323" s="65">
        <f t="shared" ref="F323" si="157">F322*$D$303</f>
        <v>490293.48352146393</v>
      </c>
      <c r="G323" s="65">
        <f t="shared" ref="G323" si="158">G322*$D$303</f>
        <v>507655.40576547181</v>
      </c>
      <c r="H323" s="65">
        <f t="shared" ref="H323" si="159">H322*$D$303</f>
        <v>525538.18567679951</v>
      </c>
    </row>
    <row r="324" spans="1:8">
      <c r="A324" s="59" t="s">
        <v>127</v>
      </c>
      <c r="B324" s="309" t="s">
        <v>128</v>
      </c>
      <c r="C324" s="309"/>
      <c r="D324" s="64">
        <f>D322-D323</f>
        <v>1666084.4555017981</v>
      </c>
      <c r="E324" s="64">
        <f t="shared" ref="E324" si="160">E322-E323</f>
        <v>1893748.9933324284</v>
      </c>
      <c r="F324" s="64">
        <f t="shared" ref="F324" si="161">F322-F323</f>
        <v>1961173.9340858557</v>
      </c>
      <c r="G324" s="64">
        <f t="shared" ref="G324" si="162">G322-G323</f>
        <v>2030621.6230618872</v>
      </c>
      <c r="H324" s="64">
        <f>H322-H323</f>
        <v>2102152.742707198</v>
      </c>
    </row>
    <row r="325" spans="1:8" ht="21.95" customHeight="1"/>
    <row r="326" spans="1:8">
      <c r="A326" s="209" t="s">
        <v>1</v>
      </c>
      <c r="B326" s="311" t="s">
        <v>120</v>
      </c>
      <c r="C326" s="311"/>
      <c r="D326" s="209" t="s">
        <v>55</v>
      </c>
      <c r="E326" s="209" t="s">
        <v>56</v>
      </c>
      <c r="F326" s="209" t="s">
        <v>57</v>
      </c>
      <c r="G326" s="209" t="s">
        <v>58</v>
      </c>
      <c r="H326" s="209" t="s">
        <v>59</v>
      </c>
    </row>
    <row r="327" spans="1:8">
      <c r="A327" s="57" t="s">
        <v>41</v>
      </c>
      <c r="B327" s="312" t="s">
        <v>121</v>
      </c>
      <c r="C327" s="312"/>
      <c r="D327" s="58">
        <f>D120</f>
        <v>7334205.5770053249</v>
      </c>
      <c r="E327" s="58">
        <f t="shared" ref="E327:H327" si="163">E120</f>
        <v>7545519.7443154845</v>
      </c>
      <c r="F327" s="58">
        <f t="shared" si="163"/>
        <v>7763173.3366449494</v>
      </c>
      <c r="G327" s="58">
        <f t="shared" si="163"/>
        <v>7987356.5367442984</v>
      </c>
      <c r="H327" s="58">
        <f t="shared" si="163"/>
        <v>8218265.2328466279</v>
      </c>
    </row>
    <row r="328" spans="1:8">
      <c r="A328" s="59" t="s">
        <v>43</v>
      </c>
      <c r="B328" s="309" t="s">
        <v>122</v>
      </c>
      <c r="C328" s="309"/>
      <c r="D328" s="60">
        <f>D329+D330+D331</f>
        <v>4081963.3210223247</v>
      </c>
      <c r="E328" s="60">
        <f t="shared" ref="E328:H328" si="164">E329+E330+E331</f>
        <v>4192571.2397993128</v>
      </c>
      <c r="F328" s="60">
        <f t="shared" si="164"/>
        <v>4306497.3961396115</v>
      </c>
      <c r="G328" s="60">
        <f t="shared" si="164"/>
        <v>4423841.3371701175</v>
      </c>
      <c r="H328" s="60">
        <f t="shared" si="164"/>
        <v>4544705.5964315394</v>
      </c>
    </row>
    <row r="329" spans="1:8">
      <c r="A329" s="61">
        <v>1</v>
      </c>
      <c r="B329" s="310" t="s">
        <v>123</v>
      </c>
      <c r="C329" s="310"/>
      <c r="D329" s="62">
        <f>G238</f>
        <v>225512.72727272726</v>
      </c>
      <c r="E329" s="62">
        <f>D329</f>
        <v>225512.72727272726</v>
      </c>
      <c r="F329" s="62">
        <f t="shared" ref="F329:F330" si="165">E329</f>
        <v>225512.72727272726</v>
      </c>
      <c r="G329" s="62">
        <f t="shared" ref="G329:G330" si="166">F329</f>
        <v>225512.72727272726</v>
      </c>
      <c r="H329" s="62">
        <f t="shared" ref="H329:H330" si="167">G329</f>
        <v>225512.72727272726</v>
      </c>
    </row>
    <row r="330" spans="1:8">
      <c r="A330" s="61">
        <v>2</v>
      </c>
      <c r="B330" s="310" t="s">
        <v>124</v>
      </c>
      <c r="C330" s="310"/>
      <c r="D330" s="216">
        <f>H320*(1+E299)</f>
        <v>154999.96785000002</v>
      </c>
      <c r="E330" s="217">
        <f>D330</f>
        <v>154999.96785000002</v>
      </c>
      <c r="F330" s="217">
        <f t="shared" si="165"/>
        <v>154999.96785000002</v>
      </c>
      <c r="G330" s="217">
        <f t="shared" si="166"/>
        <v>154999.96785000002</v>
      </c>
      <c r="H330" s="217">
        <f t="shared" si="167"/>
        <v>154999.96785000002</v>
      </c>
    </row>
    <row r="331" spans="1:8">
      <c r="A331" s="61">
        <v>3</v>
      </c>
      <c r="B331" s="310" t="s">
        <v>262</v>
      </c>
      <c r="C331" s="310"/>
      <c r="D331" s="62">
        <f>D190</f>
        <v>3701450.6258995975</v>
      </c>
      <c r="E331" s="62">
        <f t="shared" ref="E331:H331" si="168">E190</f>
        <v>3812058.5446765856</v>
      </c>
      <c r="F331" s="62">
        <f t="shared" si="168"/>
        <v>3925984.7010168838</v>
      </c>
      <c r="G331" s="62">
        <f t="shared" si="168"/>
        <v>4043328.6420473903</v>
      </c>
      <c r="H331" s="62">
        <f t="shared" si="168"/>
        <v>4164192.9013088117</v>
      </c>
    </row>
    <row r="332" spans="1:8">
      <c r="A332" s="59" t="s">
        <v>125</v>
      </c>
      <c r="B332" s="309" t="s">
        <v>129</v>
      </c>
      <c r="C332" s="309"/>
      <c r="D332" s="64">
        <f>D327-D328</f>
        <v>3252242.2559830002</v>
      </c>
      <c r="E332" s="64">
        <f t="shared" ref="E332:H332" si="169">E327-E328</f>
        <v>3352948.5045161718</v>
      </c>
      <c r="F332" s="64">
        <f t="shared" si="169"/>
        <v>3456675.9405053379</v>
      </c>
      <c r="G332" s="64">
        <f t="shared" si="169"/>
        <v>3563515.1995741809</v>
      </c>
      <c r="H332" s="64">
        <f t="shared" si="169"/>
        <v>3673559.6364150885</v>
      </c>
    </row>
    <row r="333" spans="1:8">
      <c r="A333" s="61"/>
      <c r="B333" s="310" t="s">
        <v>126</v>
      </c>
      <c r="C333" s="310"/>
      <c r="D333" s="65">
        <f>D332*$D$303</f>
        <v>650448.4511966001</v>
      </c>
      <c r="E333" s="65">
        <f>E332*$D$303</f>
        <v>670589.70090323442</v>
      </c>
      <c r="F333" s="65">
        <f>F332*$D$303</f>
        <v>691335.18810106767</v>
      </c>
      <c r="G333" s="65">
        <f t="shared" ref="G333" si="170">G332*$D$303</f>
        <v>712703.03991483618</v>
      </c>
      <c r="H333" s="65">
        <f>H332*$D$303</f>
        <v>734711.92728301778</v>
      </c>
    </row>
    <row r="334" spans="1:8">
      <c r="A334" s="59" t="s">
        <v>127</v>
      </c>
      <c r="B334" s="309" t="s">
        <v>128</v>
      </c>
      <c r="C334" s="309"/>
      <c r="D334" s="64">
        <f>D332-D333</f>
        <v>2601793.8047863999</v>
      </c>
      <c r="E334" s="64">
        <f t="shared" ref="E334:G334" si="171">E332-E333</f>
        <v>2682358.8036129372</v>
      </c>
      <c r="F334" s="64">
        <f t="shared" si="171"/>
        <v>2765340.7524042702</v>
      </c>
      <c r="G334" s="64">
        <f t="shared" si="171"/>
        <v>2850812.1596593447</v>
      </c>
      <c r="H334" s="64">
        <f>H332-H333</f>
        <v>2938847.7091320707</v>
      </c>
    </row>
  </sheetData>
  <mergeCells count="128">
    <mergeCell ref="I78:I79"/>
    <mergeCell ref="I93:I94"/>
    <mergeCell ref="I108:I109"/>
    <mergeCell ref="A13:C13"/>
    <mergeCell ref="A194:H194"/>
    <mergeCell ref="B190:C190"/>
    <mergeCell ref="A304:H304"/>
    <mergeCell ref="B181:C181"/>
    <mergeCell ref="B182:C182"/>
    <mergeCell ref="A184:A185"/>
    <mergeCell ref="B184:C184"/>
    <mergeCell ref="B185:C185"/>
    <mergeCell ref="B186:C186"/>
    <mergeCell ref="B187:C187"/>
    <mergeCell ref="B188:C188"/>
    <mergeCell ref="B189:C189"/>
    <mergeCell ref="B179:C179"/>
    <mergeCell ref="B180:C180"/>
    <mergeCell ref="A166:H166"/>
    <mergeCell ref="A168:A169"/>
    <mergeCell ref="B168:C168"/>
    <mergeCell ref="B169:C169"/>
    <mergeCell ref="B170:C170"/>
    <mergeCell ref="B171:C171"/>
    <mergeCell ref="B172:C172"/>
    <mergeCell ref="A76:H76"/>
    <mergeCell ref="A122:H122"/>
    <mergeCell ref="B326:C326"/>
    <mergeCell ref="B327:C327"/>
    <mergeCell ref="B328:C328"/>
    <mergeCell ref="B329:C329"/>
    <mergeCell ref="B330:C330"/>
    <mergeCell ref="B331:C331"/>
    <mergeCell ref="B332:C332"/>
    <mergeCell ref="B333:C333"/>
    <mergeCell ref="B334:C334"/>
    <mergeCell ref="A1:H1"/>
    <mergeCell ref="A2:H2"/>
    <mergeCell ref="A3:H3"/>
    <mergeCell ref="A5:H5"/>
    <mergeCell ref="A6:H6"/>
    <mergeCell ref="A7:H7"/>
    <mergeCell ref="B27:E27"/>
    <mergeCell ref="B26:E26"/>
    <mergeCell ref="A8:H8"/>
    <mergeCell ref="B21:E22"/>
    <mergeCell ref="B23:E23"/>
    <mergeCell ref="B24:E24"/>
    <mergeCell ref="B25:E25"/>
    <mergeCell ref="G21:H21"/>
    <mergeCell ref="A21:A22"/>
    <mergeCell ref="F21:F22"/>
    <mergeCell ref="A20:E20"/>
    <mergeCell ref="A4:C4"/>
    <mergeCell ref="B147:C147"/>
    <mergeCell ref="B148:C148"/>
    <mergeCell ref="B149:C149"/>
    <mergeCell ref="B31:E31"/>
    <mergeCell ref="B32:E32"/>
    <mergeCell ref="A33:H33"/>
    <mergeCell ref="B28:E28"/>
    <mergeCell ref="B29:E29"/>
    <mergeCell ref="B30:E30"/>
    <mergeCell ref="B36:C36"/>
    <mergeCell ref="B50:C50"/>
    <mergeCell ref="B64:C64"/>
    <mergeCell ref="A9:C9"/>
    <mergeCell ref="A10:C10"/>
    <mergeCell ref="A11:C11"/>
    <mergeCell ref="A14:C14"/>
    <mergeCell ref="A15:C15"/>
    <mergeCell ref="A16:C16"/>
    <mergeCell ref="A17:C17"/>
    <mergeCell ref="A18:C18"/>
    <mergeCell ref="A19:C19"/>
    <mergeCell ref="A12:C12"/>
    <mergeCell ref="B157:C157"/>
    <mergeCell ref="B158:C158"/>
    <mergeCell ref="B159:C159"/>
    <mergeCell ref="B160:C160"/>
    <mergeCell ref="A193:H193"/>
    <mergeCell ref="B150:C150"/>
    <mergeCell ref="B151:C151"/>
    <mergeCell ref="B152:C152"/>
    <mergeCell ref="B153:C153"/>
    <mergeCell ref="B154:C154"/>
    <mergeCell ref="B155:C155"/>
    <mergeCell ref="A163:C163"/>
    <mergeCell ref="E163:H163"/>
    <mergeCell ref="A164:C164"/>
    <mergeCell ref="E164:H164"/>
    <mergeCell ref="B176:C176"/>
    <mergeCell ref="B177:C177"/>
    <mergeCell ref="B173:C173"/>
    <mergeCell ref="B174:C174"/>
    <mergeCell ref="A176:A177"/>
    <mergeCell ref="B178:C178"/>
    <mergeCell ref="C228:D228"/>
    <mergeCell ref="C217:D217"/>
    <mergeCell ref="C206:D206"/>
    <mergeCell ref="C239:D239"/>
    <mergeCell ref="C272:D272"/>
    <mergeCell ref="C261:D261"/>
    <mergeCell ref="C294:D294"/>
    <mergeCell ref="C283:D283"/>
    <mergeCell ref="A297:C297"/>
    <mergeCell ref="A298:C298"/>
    <mergeCell ref="A299:D299"/>
    <mergeCell ref="B322:C322"/>
    <mergeCell ref="B323:C323"/>
    <mergeCell ref="B324:C324"/>
    <mergeCell ref="B316:C316"/>
    <mergeCell ref="B317:C317"/>
    <mergeCell ref="B318:C318"/>
    <mergeCell ref="B319:C319"/>
    <mergeCell ref="B320:C320"/>
    <mergeCell ref="B321:C321"/>
    <mergeCell ref="B310:C310"/>
    <mergeCell ref="B311:C311"/>
    <mergeCell ref="B312:C312"/>
    <mergeCell ref="B313:C313"/>
    <mergeCell ref="B314:C314"/>
    <mergeCell ref="B315:C315"/>
    <mergeCell ref="A301:H301"/>
    <mergeCell ref="B306:C306"/>
    <mergeCell ref="B307:C307"/>
    <mergeCell ref="B308:C308"/>
    <mergeCell ref="B309:C309"/>
  </mergeCells>
  <pageMargins left="0.70866141732283472" right="0.27559055118110237" top="0.74803149606299213" bottom="0.74803149606299213" header="0.31496062992125984" footer="0.31496062992125984"/>
  <pageSetup paperSize="9" scale="80" orientation="portrait" verticalDpi="0" r:id="rId1"/>
  <headerFooter>
    <oddFooter>&amp;R&amp;N</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dimension ref="A1:O313"/>
  <sheetViews>
    <sheetView zoomScale="115" zoomScaleNormal="115" zoomScaleSheetLayoutView="115" workbookViewId="0">
      <selection activeCell="D267" sqref="D267"/>
    </sheetView>
  </sheetViews>
  <sheetFormatPr defaultRowHeight="16.5"/>
  <cols>
    <col min="1" max="1" width="4.125" style="3" customWidth="1"/>
    <col min="2" max="2" width="28.25" style="3" customWidth="1"/>
    <col min="3" max="3" width="10.625" style="3" customWidth="1"/>
    <col min="4" max="4" width="12.625" style="3" customWidth="1"/>
    <col min="5" max="6" width="12.625" style="1" customWidth="1"/>
    <col min="7" max="7" width="12.625" style="4" customWidth="1"/>
    <col min="8" max="8" width="12.625" style="11" customWidth="1"/>
    <col min="9" max="9" width="20.25" style="1" customWidth="1"/>
    <col min="10" max="11" width="17.5" style="1" customWidth="1"/>
    <col min="12" max="16384" width="9" style="1"/>
  </cols>
  <sheetData>
    <row r="1" spans="1:8" ht="18.75">
      <c r="A1" s="325" t="s">
        <v>131</v>
      </c>
      <c r="B1" s="325"/>
      <c r="C1" s="325"/>
      <c r="D1" s="325"/>
      <c r="E1" s="325"/>
      <c r="F1" s="325"/>
      <c r="G1" s="325"/>
      <c r="H1" s="325"/>
    </row>
    <row r="2" spans="1:8">
      <c r="A2" s="314" t="s">
        <v>30</v>
      </c>
      <c r="B2" s="314"/>
      <c r="C2" s="314"/>
      <c r="D2" s="314"/>
      <c r="E2" s="314"/>
      <c r="F2" s="314"/>
      <c r="G2" s="314"/>
      <c r="H2" s="314"/>
    </row>
    <row r="3" spans="1:8" ht="33.75" customHeight="1">
      <c r="A3" s="318" t="s">
        <v>132</v>
      </c>
      <c r="B3" s="318"/>
      <c r="C3" s="318"/>
      <c r="D3" s="318"/>
      <c r="E3" s="318"/>
      <c r="F3" s="318"/>
      <c r="G3" s="318"/>
      <c r="H3" s="318"/>
    </row>
    <row r="4" spans="1:8" ht="17.100000000000001" customHeight="1">
      <c r="A4" s="318" t="s">
        <v>483</v>
      </c>
      <c r="B4" s="318"/>
      <c r="C4" s="318"/>
      <c r="D4" s="75">
        <v>15</v>
      </c>
      <c r="E4" s="25" t="s">
        <v>118</v>
      </c>
      <c r="F4" s="8"/>
      <c r="G4" s="8"/>
      <c r="H4" s="8"/>
    </row>
    <row r="5" spans="1:8" ht="17.100000000000001" customHeight="1">
      <c r="A5" s="318" t="s">
        <v>133</v>
      </c>
      <c r="B5" s="318"/>
      <c r="C5" s="318"/>
      <c r="D5" s="318"/>
      <c r="E5" s="318"/>
      <c r="F5" s="318"/>
      <c r="G5" s="318"/>
      <c r="H5" s="318"/>
    </row>
    <row r="6" spans="1:8" ht="17.100000000000001" customHeight="1">
      <c r="A6" s="318" t="s">
        <v>134</v>
      </c>
      <c r="B6" s="318"/>
      <c r="C6" s="76"/>
      <c r="D6" s="6"/>
      <c r="E6" s="6"/>
      <c r="F6" s="8"/>
      <c r="G6" s="8"/>
      <c r="H6" s="8"/>
    </row>
    <row r="7" spans="1:8" ht="17.100000000000001" customHeight="1">
      <c r="A7" s="318" t="s">
        <v>136</v>
      </c>
      <c r="B7" s="318"/>
      <c r="C7" s="76"/>
      <c r="D7" s="6"/>
      <c r="E7" s="6"/>
      <c r="F7" s="8"/>
      <c r="G7" s="8"/>
      <c r="H7" s="8"/>
    </row>
    <row r="8" spans="1:8" ht="17.100000000000001" customHeight="1">
      <c r="A8" s="318" t="s">
        <v>135</v>
      </c>
      <c r="B8" s="318"/>
      <c r="C8" s="76"/>
      <c r="D8" s="6"/>
      <c r="E8" s="6"/>
      <c r="F8" s="8"/>
      <c r="G8" s="8"/>
      <c r="H8" s="8"/>
    </row>
    <row r="9" spans="1:8" ht="17.100000000000001" customHeight="1">
      <c r="A9" s="318" t="s">
        <v>137</v>
      </c>
      <c r="B9" s="318"/>
      <c r="C9" s="76"/>
      <c r="D9" s="6"/>
      <c r="E9" s="6"/>
      <c r="F9" s="8"/>
      <c r="G9" s="8"/>
      <c r="H9" s="8"/>
    </row>
    <row r="10" spans="1:8" ht="17.100000000000001" customHeight="1">
      <c r="A10" s="318" t="s">
        <v>154</v>
      </c>
      <c r="B10" s="318"/>
      <c r="C10" s="76"/>
      <c r="D10" s="6"/>
      <c r="E10" s="6"/>
      <c r="F10" s="8"/>
      <c r="G10" s="8"/>
      <c r="H10" s="8"/>
    </row>
    <row r="11" spans="1:8" ht="17.100000000000001" customHeight="1">
      <c r="A11" s="318" t="s">
        <v>138</v>
      </c>
      <c r="B11" s="318"/>
      <c r="C11" s="76"/>
      <c r="D11" s="6"/>
      <c r="E11" s="6"/>
      <c r="F11" s="8"/>
      <c r="G11" s="8"/>
      <c r="H11" s="8"/>
    </row>
    <row r="12" spans="1:8" ht="17.100000000000001" customHeight="1">
      <c r="A12" s="318" t="s">
        <v>484</v>
      </c>
      <c r="B12" s="318"/>
      <c r="C12" s="318"/>
      <c r="D12" s="318"/>
      <c r="E12" s="318"/>
      <c r="F12" s="318"/>
      <c r="G12" s="318"/>
      <c r="H12" s="318"/>
    </row>
    <row r="13" spans="1:8" ht="17.25" customHeight="1">
      <c r="A13" s="318" t="s">
        <v>139</v>
      </c>
      <c r="B13" s="318"/>
      <c r="C13" s="318"/>
      <c r="D13" s="318"/>
      <c r="E13" s="318"/>
      <c r="F13" s="318"/>
      <c r="G13" s="318"/>
      <c r="H13" s="318"/>
    </row>
    <row r="14" spans="1:8" ht="32.25" customHeight="1">
      <c r="A14" s="318" t="s">
        <v>140</v>
      </c>
      <c r="B14" s="318"/>
      <c r="C14" s="76">
        <v>0.2</v>
      </c>
      <c r="D14" s="129" t="s">
        <v>47</v>
      </c>
      <c r="E14" s="6"/>
      <c r="F14" s="8"/>
      <c r="G14" s="8"/>
      <c r="H14" s="8"/>
    </row>
    <row r="15" spans="1:8" ht="34.5" customHeight="1">
      <c r="A15" s="318" t="s">
        <v>157</v>
      </c>
      <c r="B15" s="318"/>
      <c r="C15" s="26">
        <v>0.03</v>
      </c>
      <c r="D15" s="73" t="s">
        <v>47</v>
      </c>
      <c r="E15" s="72"/>
      <c r="F15" s="74"/>
      <c r="G15" s="74"/>
      <c r="H15" s="74"/>
    </row>
    <row r="16" spans="1:8" ht="32.25" customHeight="1">
      <c r="A16" s="318" t="s">
        <v>161</v>
      </c>
      <c r="B16" s="318"/>
      <c r="C16" s="303">
        <v>1.4999999999999999E-2</v>
      </c>
      <c r="D16" s="73" t="s">
        <v>47</v>
      </c>
      <c r="E16" s="72"/>
      <c r="F16" s="74"/>
      <c r="G16" s="74"/>
      <c r="H16" s="74"/>
    </row>
    <row r="17" spans="1:10">
      <c r="A17" s="314" t="s">
        <v>141</v>
      </c>
      <c r="B17" s="314"/>
      <c r="C17" s="314"/>
      <c r="D17" s="314"/>
      <c r="E17" s="314"/>
    </row>
    <row r="18" spans="1:10">
      <c r="A18" s="127" t="s">
        <v>377</v>
      </c>
      <c r="B18" s="9"/>
      <c r="C18" s="9"/>
      <c r="D18" s="9"/>
      <c r="E18" s="9"/>
    </row>
    <row r="19" spans="1:10">
      <c r="A19" s="7"/>
      <c r="B19" s="9"/>
      <c r="C19" s="9"/>
      <c r="D19" s="9"/>
      <c r="E19" s="9"/>
      <c r="G19" s="82" t="s">
        <v>60</v>
      </c>
      <c r="H19" s="30" t="s">
        <v>61</v>
      </c>
    </row>
    <row r="20" spans="1:10" ht="18" customHeight="1">
      <c r="A20" s="40" t="s">
        <v>1</v>
      </c>
      <c r="B20" s="316" t="s">
        <v>142</v>
      </c>
      <c r="C20" s="316"/>
      <c r="D20" s="316"/>
      <c r="E20" s="40" t="s">
        <v>143</v>
      </c>
      <c r="F20" s="40" t="s">
        <v>144</v>
      </c>
      <c r="G20" s="40" t="s">
        <v>146</v>
      </c>
      <c r="H20" s="40" t="s">
        <v>145</v>
      </c>
    </row>
    <row r="21" spans="1:10" ht="18" customHeight="1">
      <c r="A21" s="45">
        <v>1</v>
      </c>
      <c r="B21" s="317" t="s">
        <v>147</v>
      </c>
      <c r="C21" s="317"/>
      <c r="D21" s="317"/>
      <c r="E21" s="45" t="s">
        <v>153</v>
      </c>
      <c r="F21" s="80">
        <v>200000</v>
      </c>
      <c r="G21" s="77">
        <v>21.36</v>
      </c>
      <c r="H21" s="17">
        <f>G21*F21</f>
        <v>4272000</v>
      </c>
    </row>
    <row r="22" spans="1:10" ht="18" customHeight="1">
      <c r="A22" s="45">
        <v>2</v>
      </c>
      <c r="B22" s="317" t="s">
        <v>148</v>
      </c>
      <c r="C22" s="317"/>
      <c r="D22" s="317"/>
      <c r="E22" s="45" t="s">
        <v>153</v>
      </c>
      <c r="F22" s="80">
        <v>300000</v>
      </c>
      <c r="G22" s="77">
        <v>20.21</v>
      </c>
      <c r="H22" s="17">
        <f t="shared" ref="H22:H25" si="0">G22*F22</f>
        <v>6063000</v>
      </c>
    </row>
    <row r="23" spans="1:10" ht="18" customHeight="1">
      <c r="A23" s="45">
        <v>3</v>
      </c>
      <c r="B23" s="317" t="s">
        <v>149</v>
      </c>
      <c r="C23" s="317"/>
      <c r="D23" s="317"/>
      <c r="E23" s="45" t="s">
        <v>153</v>
      </c>
      <c r="F23" s="80">
        <v>100000</v>
      </c>
      <c r="G23" s="77">
        <v>16.22</v>
      </c>
      <c r="H23" s="17">
        <f t="shared" si="0"/>
        <v>1622000</v>
      </c>
    </row>
    <row r="24" spans="1:10" ht="18" customHeight="1">
      <c r="A24" s="45">
        <v>4</v>
      </c>
      <c r="B24" s="317" t="s">
        <v>155</v>
      </c>
      <c r="C24" s="317"/>
      <c r="D24" s="317"/>
      <c r="E24" s="45" t="s">
        <v>153</v>
      </c>
      <c r="F24" s="80">
        <v>600000</v>
      </c>
      <c r="G24" s="77">
        <v>17.690000000000001</v>
      </c>
      <c r="H24" s="17">
        <f t="shared" si="0"/>
        <v>10614000</v>
      </c>
    </row>
    <row r="25" spans="1:10" ht="18" customHeight="1">
      <c r="A25" s="45">
        <v>5</v>
      </c>
      <c r="B25" s="317" t="s">
        <v>150</v>
      </c>
      <c r="C25" s="317"/>
      <c r="D25" s="317"/>
      <c r="E25" s="45" t="s">
        <v>153</v>
      </c>
      <c r="F25" s="80">
        <v>1000000</v>
      </c>
      <c r="G25" s="77">
        <v>17.39</v>
      </c>
      <c r="H25" s="17">
        <f t="shared" si="0"/>
        <v>17390000</v>
      </c>
      <c r="J25" s="138"/>
    </row>
    <row r="26" spans="1:10" ht="18" customHeight="1">
      <c r="A26" s="176">
        <v>6</v>
      </c>
      <c r="B26" s="332" t="s">
        <v>487</v>
      </c>
      <c r="C26" s="337"/>
      <c r="D26" s="333"/>
      <c r="E26" s="176" t="s">
        <v>486</v>
      </c>
      <c r="F26" s="301">
        <v>0.05</v>
      </c>
      <c r="G26" s="77"/>
      <c r="H26" s="17">
        <f>SUM(H21:H25)*F26</f>
        <v>1998050</v>
      </c>
      <c r="J26" s="138"/>
    </row>
    <row r="27" spans="1:10" ht="18" customHeight="1">
      <c r="A27" s="45"/>
      <c r="B27" s="316" t="s">
        <v>152</v>
      </c>
      <c r="C27" s="316"/>
      <c r="D27" s="316"/>
      <c r="E27" s="20"/>
      <c r="F27" s="15"/>
      <c r="G27" s="18"/>
      <c r="H27" s="81">
        <f>SUM(H21:H26)</f>
        <v>41959050</v>
      </c>
    </row>
    <row r="28" spans="1:10">
      <c r="A28" s="9"/>
      <c r="B28" s="9"/>
      <c r="C28" s="9"/>
      <c r="D28" s="9"/>
      <c r="E28" s="9"/>
    </row>
    <row r="29" spans="1:10">
      <c r="A29" s="7" t="s">
        <v>156</v>
      </c>
      <c r="B29" s="9"/>
      <c r="C29" s="9"/>
      <c r="D29" s="9"/>
      <c r="E29" s="9"/>
    </row>
    <row r="30" spans="1:10">
      <c r="A30" s="67" t="s">
        <v>159</v>
      </c>
      <c r="B30" s="9"/>
      <c r="C30" s="9"/>
      <c r="D30" s="9"/>
      <c r="E30" s="9"/>
      <c r="G30" s="82"/>
      <c r="H30" s="30"/>
    </row>
    <row r="31" spans="1:10">
      <c r="A31" s="67"/>
      <c r="B31" s="67"/>
      <c r="C31" s="67"/>
      <c r="D31" s="67"/>
      <c r="E31" s="67"/>
      <c r="G31" s="82"/>
      <c r="H31" s="30"/>
    </row>
    <row r="32" spans="1:10" ht="18" customHeight="1">
      <c r="A32" s="66" t="s">
        <v>1</v>
      </c>
      <c r="B32" s="68" t="s">
        <v>158</v>
      </c>
      <c r="C32" s="66" t="s">
        <v>143</v>
      </c>
      <c r="D32" s="66" t="s">
        <v>33</v>
      </c>
      <c r="E32" s="66" t="s">
        <v>34</v>
      </c>
      <c r="F32" s="66" t="s">
        <v>35</v>
      </c>
      <c r="G32" s="66" t="s">
        <v>36</v>
      </c>
      <c r="H32" s="66" t="s">
        <v>37</v>
      </c>
    </row>
    <row r="33" spans="1:8" ht="18" customHeight="1">
      <c r="A33" s="66"/>
      <c r="B33" s="99" t="s">
        <v>160</v>
      </c>
      <c r="C33" s="70"/>
      <c r="D33" s="46">
        <v>0</v>
      </c>
      <c r="E33" s="46">
        <f>C15</f>
        <v>0.03</v>
      </c>
      <c r="F33" s="302">
        <f>E33</f>
        <v>0.03</v>
      </c>
      <c r="G33" s="302">
        <f t="shared" ref="G33:H33" si="1">F33</f>
        <v>0.03</v>
      </c>
      <c r="H33" s="302">
        <f t="shared" si="1"/>
        <v>0.03</v>
      </c>
    </row>
    <row r="34" spans="1:8" ht="18" customHeight="1">
      <c r="A34" s="70">
        <v>1</v>
      </c>
      <c r="B34" s="100" t="s">
        <v>147</v>
      </c>
      <c r="C34" s="70" t="s">
        <v>153</v>
      </c>
      <c r="D34" s="23">
        <f>F21</f>
        <v>200000</v>
      </c>
      <c r="E34" s="23">
        <f>D34*(1+E$33)</f>
        <v>206000</v>
      </c>
      <c r="F34" s="23">
        <f t="shared" ref="F34:H34" si="2">E34*(1+F$33)</f>
        <v>212180</v>
      </c>
      <c r="G34" s="23">
        <f t="shared" si="2"/>
        <v>218545.4</v>
      </c>
      <c r="H34" s="23">
        <f t="shared" si="2"/>
        <v>225101.76199999999</v>
      </c>
    </row>
    <row r="35" spans="1:8" ht="18" customHeight="1">
      <c r="A35" s="70">
        <v>2</v>
      </c>
      <c r="B35" s="100" t="s">
        <v>148</v>
      </c>
      <c r="C35" s="70" t="s">
        <v>153</v>
      </c>
      <c r="D35" s="23">
        <f>F22</f>
        <v>300000</v>
      </c>
      <c r="E35" s="23">
        <f t="shared" ref="E35:H35" si="3">D35*(1+E$33)</f>
        <v>309000</v>
      </c>
      <c r="F35" s="23">
        <f t="shared" si="3"/>
        <v>318270</v>
      </c>
      <c r="G35" s="23">
        <f t="shared" si="3"/>
        <v>327818.10000000003</v>
      </c>
      <c r="H35" s="23">
        <f t="shared" si="3"/>
        <v>337652.64300000004</v>
      </c>
    </row>
    <row r="36" spans="1:8" ht="18" customHeight="1">
      <c r="A36" s="70">
        <v>3</v>
      </c>
      <c r="B36" s="100" t="s">
        <v>149</v>
      </c>
      <c r="C36" s="70" t="s">
        <v>153</v>
      </c>
      <c r="D36" s="23">
        <f>F23</f>
        <v>100000</v>
      </c>
      <c r="E36" s="23">
        <f t="shared" ref="E36:H36" si="4">D36*(1+E$33)</f>
        <v>103000</v>
      </c>
      <c r="F36" s="23">
        <f t="shared" si="4"/>
        <v>106090</v>
      </c>
      <c r="G36" s="23">
        <f t="shared" si="4"/>
        <v>109272.7</v>
      </c>
      <c r="H36" s="23">
        <f t="shared" si="4"/>
        <v>112550.88099999999</v>
      </c>
    </row>
    <row r="37" spans="1:8" ht="18" customHeight="1">
      <c r="A37" s="70">
        <v>4</v>
      </c>
      <c r="B37" s="100" t="s">
        <v>155</v>
      </c>
      <c r="C37" s="70" t="s">
        <v>153</v>
      </c>
      <c r="D37" s="23">
        <f>F24</f>
        <v>600000</v>
      </c>
      <c r="E37" s="23">
        <f t="shared" ref="E37:H37" si="5">D37*(1+E$33)</f>
        <v>618000</v>
      </c>
      <c r="F37" s="23">
        <f t="shared" si="5"/>
        <v>636540</v>
      </c>
      <c r="G37" s="23">
        <f t="shared" si="5"/>
        <v>655636.20000000007</v>
      </c>
      <c r="H37" s="23">
        <f t="shared" si="5"/>
        <v>675305.28600000008</v>
      </c>
    </row>
    <row r="38" spans="1:8" ht="18" customHeight="1">
      <c r="A38" s="70">
        <v>5</v>
      </c>
      <c r="B38" s="100" t="s">
        <v>150</v>
      </c>
      <c r="C38" s="70" t="s">
        <v>153</v>
      </c>
      <c r="D38" s="23">
        <f>F25</f>
        <v>1000000</v>
      </c>
      <c r="E38" s="23">
        <f t="shared" ref="E38:H38" si="6">D38*(1+E$33)</f>
        <v>1030000</v>
      </c>
      <c r="F38" s="23">
        <f t="shared" si="6"/>
        <v>1060900</v>
      </c>
      <c r="G38" s="23">
        <f t="shared" si="6"/>
        <v>1092727</v>
      </c>
      <c r="H38" s="23">
        <f t="shared" si="6"/>
        <v>1125508.81</v>
      </c>
    </row>
    <row r="39" spans="1:8">
      <c r="A39" s="9"/>
      <c r="B39" s="9"/>
      <c r="C39" s="9"/>
      <c r="D39" s="9"/>
      <c r="E39" s="9"/>
    </row>
    <row r="40" spans="1:8">
      <c r="A40" s="221" t="s">
        <v>1</v>
      </c>
      <c r="B40" s="224" t="s">
        <v>158</v>
      </c>
      <c r="C40" s="221" t="s">
        <v>143</v>
      </c>
      <c r="D40" s="221" t="s">
        <v>50</v>
      </c>
      <c r="E40" s="221" t="s">
        <v>51</v>
      </c>
      <c r="F40" s="221" t="s">
        <v>52</v>
      </c>
      <c r="G40" s="221" t="s">
        <v>53</v>
      </c>
      <c r="H40" s="221" t="s">
        <v>54</v>
      </c>
    </row>
    <row r="41" spans="1:8">
      <c r="A41" s="221"/>
      <c r="B41" s="99" t="s">
        <v>160</v>
      </c>
      <c r="C41" s="176"/>
      <c r="D41" s="46">
        <f>H33</f>
        <v>0.03</v>
      </c>
      <c r="E41" s="46">
        <f>D41</f>
        <v>0.03</v>
      </c>
      <c r="F41" s="302">
        <f>E41</f>
        <v>0.03</v>
      </c>
      <c r="G41" s="302">
        <f t="shared" ref="G41:H41" si="7">F41</f>
        <v>0.03</v>
      </c>
      <c r="H41" s="302">
        <f t="shared" si="7"/>
        <v>0.03</v>
      </c>
    </row>
    <row r="42" spans="1:8">
      <c r="A42" s="176">
        <v>1</v>
      </c>
      <c r="B42" s="100" t="s">
        <v>147</v>
      </c>
      <c r="C42" s="176" t="s">
        <v>153</v>
      </c>
      <c r="D42" s="23">
        <f>H34*(1+D$41)</f>
        <v>231854.81485999998</v>
      </c>
      <c r="E42" s="23">
        <f>D42*(1+E$41)</f>
        <v>238810.4593058</v>
      </c>
      <c r="F42" s="23">
        <f t="shared" ref="F42:H42" si="8">E42*(1+F$41)</f>
        <v>245974.773084974</v>
      </c>
      <c r="G42" s="23">
        <f t="shared" si="8"/>
        <v>253354.01627752322</v>
      </c>
      <c r="H42" s="23">
        <f t="shared" si="8"/>
        <v>260954.63676584893</v>
      </c>
    </row>
    <row r="43" spans="1:8">
      <c r="A43" s="176">
        <v>2</v>
      </c>
      <c r="B43" s="100" t="s">
        <v>148</v>
      </c>
      <c r="C43" s="176" t="s">
        <v>153</v>
      </c>
      <c r="D43" s="23">
        <f t="shared" ref="D43:D46" si="9">H35*(1+D$41)</f>
        <v>347782.22229000006</v>
      </c>
      <c r="E43" s="23">
        <f t="shared" ref="E43:H43" si="10">D43*(1+E$41)</f>
        <v>358215.68895870005</v>
      </c>
      <c r="F43" s="23">
        <f t="shared" si="10"/>
        <v>368962.15962746105</v>
      </c>
      <c r="G43" s="23">
        <f t="shared" si="10"/>
        <v>380031.02441628487</v>
      </c>
      <c r="H43" s="23">
        <f t="shared" si="10"/>
        <v>391431.95514877344</v>
      </c>
    </row>
    <row r="44" spans="1:8">
      <c r="A44" s="176">
        <v>3</v>
      </c>
      <c r="B44" s="100" t="s">
        <v>149</v>
      </c>
      <c r="C44" s="176" t="s">
        <v>153</v>
      </c>
      <c r="D44" s="23">
        <f t="shared" si="9"/>
        <v>115927.40742999999</v>
      </c>
      <c r="E44" s="23">
        <f t="shared" ref="E44:H44" si="11">D44*(1+E$41)</f>
        <v>119405.2296529</v>
      </c>
      <c r="F44" s="23">
        <f t="shared" si="11"/>
        <v>122987.386542487</v>
      </c>
      <c r="G44" s="23">
        <f t="shared" si="11"/>
        <v>126677.00813876161</v>
      </c>
      <c r="H44" s="23">
        <f t="shared" si="11"/>
        <v>130477.31838292447</v>
      </c>
    </row>
    <row r="45" spans="1:8">
      <c r="A45" s="176">
        <v>4</v>
      </c>
      <c r="B45" s="100" t="s">
        <v>155</v>
      </c>
      <c r="C45" s="176" t="s">
        <v>153</v>
      </c>
      <c r="D45" s="23">
        <f t="shared" si="9"/>
        <v>695564.44458000013</v>
      </c>
      <c r="E45" s="23">
        <f t="shared" ref="E45:H45" si="12">D45*(1+E$41)</f>
        <v>716431.3779174001</v>
      </c>
      <c r="F45" s="23">
        <f t="shared" si="12"/>
        <v>737924.3192549221</v>
      </c>
      <c r="G45" s="23">
        <f t="shared" si="12"/>
        <v>760062.04883256974</v>
      </c>
      <c r="H45" s="23">
        <f t="shared" si="12"/>
        <v>782863.91029754688</v>
      </c>
    </row>
    <row r="46" spans="1:8">
      <c r="A46" s="176">
        <v>5</v>
      </c>
      <c r="B46" s="100" t="s">
        <v>150</v>
      </c>
      <c r="C46" s="176" t="s">
        <v>153</v>
      </c>
      <c r="D46" s="23">
        <f t="shared" si="9"/>
        <v>1159274.0743</v>
      </c>
      <c r="E46" s="23">
        <f t="shared" ref="E46:H46" si="13">D46*(1+E$41)</f>
        <v>1194052.2965289999</v>
      </c>
      <c r="F46" s="23">
        <f t="shared" si="13"/>
        <v>1229873.86542487</v>
      </c>
      <c r="G46" s="23">
        <f t="shared" si="13"/>
        <v>1266770.0813876162</v>
      </c>
      <c r="H46" s="23">
        <f t="shared" si="13"/>
        <v>1304773.1838292447</v>
      </c>
    </row>
    <row r="47" spans="1:8">
      <c r="A47" s="223"/>
      <c r="B47" s="223"/>
      <c r="C47" s="223"/>
      <c r="D47" s="223"/>
      <c r="E47" s="223"/>
    </row>
    <row r="48" spans="1:8">
      <c r="A48" s="221" t="s">
        <v>1</v>
      </c>
      <c r="B48" s="224" t="s">
        <v>158</v>
      </c>
      <c r="C48" s="221" t="s">
        <v>143</v>
      </c>
      <c r="D48" s="221" t="s">
        <v>55</v>
      </c>
      <c r="E48" s="221" t="s">
        <v>56</v>
      </c>
      <c r="F48" s="221" t="s">
        <v>57</v>
      </c>
      <c r="G48" s="221" t="s">
        <v>58</v>
      </c>
      <c r="H48" s="221" t="s">
        <v>59</v>
      </c>
    </row>
    <row r="49" spans="1:8">
      <c r="A49" s="221"/>
      <c r="B49" s="99" t="s">
        <v>160</v>
      </c>
      <c r="C49" s="176"/>
      <c r="D49" s="46">
        <f>H41</f>
        <v>0.03</v>
      </c>
      <c r="E49" s="46">
        <f>D49</f>
        <v>0.03</v>
      </c>
      <c r="F49" s="302">
        <f>E49</f>
        <v>0.03</v>
      </c>
      <c r="G49" s="302">
        <f t="shared" ref="G49:H49" si="14">F49</f>
        <v>0.03</v>
      </c>
      <c r="H49" s="302">
        <f t="shared" si="14"/>
        <v>0.03</v>
      </c>
    </row>
    <row r="50" spans="1:8">
      <c r="A50" s="176">
        <v>1</v>
      </c>
      <c r="B50" s="100" t="s">
        <v>147</v>
      </c>
      <c r="C50" s="176" t="s">
        <v>153</v>
      </c>
      <c r="D50" s="23">
        <f>H42*(1+D$49)</f>
        <v>268783.27586882439</v>
      </c>
      <c r="E50" s="23">
        <f>D50*(1+E$49)</f>
        <v>276846.77414488915</v>
      </c>
      <c r="F50" s="23">
        <f t="shared" ref="F50:H50" si="15">E50*(1+F$49)</f>
        <v>285152.17736923584</v>
      </c>
      <c r="G50" s="23">
        <f t="shared" si="15"/>
        <v>293706.74269031291</v>
      </c>
      <c r="H50" s="23">
        <f t="shared" si="15"/>
        <v>302517.94497102231</v>
      </c>
    </row>
    <row r="51" spans="1:8">
      <c r="A51" s="176">
        <v>2</v>
      </c>
      <c r="B51" s="100" t="s">
        <v>148</v>
      </c>
      <c r="C51" s="176" t="s">
        <v>153</v>
      </c>
      <c r="D51" s="23">
        <f t="shared" ref="D51:D54" si="16">H43*(1+D$49)</f>
        <v>403174.91380323668</v>
      </c>
      <c r="E51" s="23">
        <f t="shared" ref="E51:H51" si="17">D51*(1+E$49)</f>
        <v>415270.16121733381</v>
      </c>
      <c r="F51" s="23">
        <f t="shared" si="17"/>
        <v>427728.26605385385</v>
      </c>
      <c r="G51" s="23">
        <f t="shared" si="17"/>
        <v>440560.11403546948</v>
      </c>
      <c r="H51" s="23">
        <f t="shared" si="17"/>
        <v>453776.91745653359</v>
      </c>
    </row>
    <row r="52" spans="1:8">
      <c r="A52" s="176">
        <v>3</v>
      </c>
      <c r="B52" s="100" t="s">
        <v>149</v>
      </c>
      <c r="C52" s="176" t="s">
        <v>153</v>
      </c>
      <c r="D52" s="23">
        <f t="shared" si="16"/>
        <v>134391.6379344122</v>
      </c>
      <c r="E52" s="23">
        <f t="shared" ref="E52:H52" si="18">D52*(1+E$49)</f>
        <v>138423.38707244457</v>
      </c>
      <c r="F52" s="23">
        <f t="shared" si="18"/>
        <v>142576.08868461792</v>
      </c>
      <c r="G52" s="23">
        <f t="shared" si="18"/>
        <v>146853.37134515645</v>
      </c>
      <c r="H52" s="23">
        <f t="shared" si="18"/>
        <v>151258.97248551116</v>
      </c>
    </row>
    <row r="53" spans="1:8">
      <c r="A53" s="176">
        <v>4</v>
      </c>
      <c r="B53" s="100" t="s">
        <v>155</v>
      </c>
      <c r="C53" s="176" t="s">
        <v>153</v>
      </c>
      <c r="D53" s="23">
        <f t="shared" si="16"/>
        <v>806349.82760647335</v>
      </c>
      <c r="E53" s="23">
        <f t="shared" ref="E53:H53" si="19">D53*(1+E$49)</f>
        <v>830540.32243466761</v>
      </c>
      <c r="F53" s="23">
        <f t="shared" si="19"/>
        <v>855456.5321077077</v>
      </c>
      <c r="G53" s="23">
        <f t="shared" si="19"/>
        <v>881120.22807093896</v>
      </c>
      <c r="H53" s="23">
        <f t="shared" si="19"/>
        <v>907553.83491306717</v>
      </c>
    </row>
    <row r="54" spans="1:8">
      <c r="A54" s="176">
        <v>5</v>
      </c>
      <c r="B54" s="100" t="s">
        <v>150</v>
      </c>
      <c r="C54" s="176" t="s">
        <v>153</v>
      </c>
      <c r="D54" s="23">
        <f t="shared" si="16"/>
        <v>1343916.379344122</v>
      </c>
      <c r="E54" s="23">
        <f t="shared" ref="E54:H54" si="20">D54*(1+E$49)</f>
        <v>1384233.8707244457</v>
      </c>
      <c r="F54" s="23">
        <f t="shared" si="20"/>
        <v>1425760.8868461791</v>
      </c>
      <c r="G54" s="23">
        <f t="shared" si="20"/>
        <v>1468533.7134515645</v>
      </c>
      <c r="H54" s="23">
        <f t="shared" si="20"/>
        <v>1512589.7248551114</v>
      </c>
    </row>
    <row r="55" spans="1:8">
      <c r="A55" s="223"/>
      <c r="B55" s="223"/>
      <c r="C55" s="223"/>
      <c r="D55" s="223"/>
      <c r="E55" s="223"/>
    </row>
    <row r="56" spans="1:8">
      <c r="A56" s="67" t="s">
        <v>162</v>
      </c>
      <c r="B56" s="9"/>
      <c r="C56" s="9"/>
      <c r="D56" s="9"/>
      <c r="E56" s="9"/>
    </row>
    <row r="57" spans="1:8">
      <c r="A57" s="9"/>
      <c r="B57" s="9"/>
      <c r="C57" s="9"/>
      <c r="D57" s="9"/>
      <c r="E57" s="9"/>
      <c r="G57" s="82" t="s">
        <v>60</v>
      </c>
      <c r="H57" s="30" t="s">
        <v>61</v>
      </c>
    </row>
    <row r="58" spans="1:8" ht="18" customHeight="1">
      <c r="A58" s="66" t="s">
        <v>1</v>
      </c>
      <c r="B58" s="338" t="s">
        <v>163</v>
      </c>
      <c r="C58" s="339"/>
      <c r="D58" s="66" t="s">
        <v>33</v>
      </c>
      <c r="E58" s="66" t="s">
        <v>34</v>
      </c>
      <c r="F58" s="66" t="s">
        <v>35</v>
      </c>
      <c r="G58" s="66" t="s">
        <v>36</v>
      </c>
      <c r="H58" s="66" t="s">
        <v>37</v>
      </c>
    </row>
    <row r="59" spans="1:8" ht="18" customHeight="1">
      <c r="A59" s="66"/>
      <c r="B59" s="340" t="s">
        <v>164</v>
      </c>
      <c r="C59" s="341"/>
      <c r="D59" s="46">
        <v>0</v>
      </c>
      <c r="E59" s="109">
        <f>C16</f>
        <v>1.4999999999999999E-2</v>
      </c>
      <c r="F59" s="304">
        <f>E59</f>
        <v>1.4999999999999999E-2</v>
      </c>
      <c r="G59" s="304">
        <f t="shared" ref="G59:H59" si="21">F59</f>
        <v>1.4999999999999999E-2</v>
      </c>
      <c r="H59" s="304">
        <f t="shared" si="21"/>
        <v>1.4999999999999999E-2</v>
      </c>
    </row>
    <row r="60" spans="1:8" ht="18" customHeight="1">
      <c r="A60" s="70">
        <v>1</v>
      </c>
      <c r="B60" s="332" t="s">
        <v>147</v>
      </c>
      <c r="C60" s="333"/>
      <c r="D60" s="107">
        <f>G21</f>
        <v>21.36</v>
      </c>
      <c r="E60" s="107">
        <f>D60*(1+E$59)</f>
        <v>21.680399999999999</v>
      </c>
      <c r="F60" s="107">
        <f t="shared" ref="F60:H60" si="22">E60*(1+F$59)</f>
        <v>22.005605999999997</v>
      </c>
      <c r="G60" s="107">
        <f t="shared" si="22"/>
        <v>22.335690089999993</v>
      </c>
      <c r="H60" s="107">
        <f t="shared" si="22"/>
        <v>22.67072544134999</v>
      </c>
    </row>
    <row r="61" spans="1:8" ht="18" customHeight="1">
      <c r="A61" s="70">
        <v>2</v>
      </c>
      <c r="B61" s="332" t="s">
        <v>148</v>
      </c>
      <c r="C61" s="333"/>
      <c r="D61" s="107">
        <f>G22</f>
        <v>20.21</v>
      </c>
      <c r="E61" s="107">
        <f t="shared" ref="E61:H61" si="23">D61*(1+E$59)</f>
        <v>20.51315</v>
      </c>
      <c r="F61" s="107">
        <f t="shared" si="23"/>
        <v>20.820847249999996</v>
      </c>
      <c r="G61" s="107">
        <f t="shared" si="23"/>
        <v>21.133159958749996</v>
      </c>
      <c r="H61" s="107">
        <f t="shared" si="23"/>
        <v>21.450157358131243</v>
      </c>
    </row>
    <row r="62" spans="1:8" ht="18" customHeight="1">
      <c r="A62" s="70">
        <v>3</v>
      </c>
      <c r="B62" s="332" t="s">
        <v>149</v>
      </c>
      <c r="C62" s="333"/>
      <c r="D62" s="107">
        <f>G23</f>
        <v>16.22</v>
      </c>
      <c r="E62" s="107">
        <f t="shared" ref="E62:H62" si="24">D62*(1+E$59)</f>
        <v>16.463299999999997</v>
      </c>
      <c r="F62" s="107">
        <f t="shared" si="24"/>
        <v>16.710249499999996</v>
      </c>
      <c r="G62" s="107">
        <f t="shared" si="24"/>
        <v>16.960903242499995</v>
      </c>
      <c r="H62" s="107">
        <f t="shared" si="24"/>
        <v>17.215316791137493</v>
      </c>
    </row>
    <row r="63" spans="1:8" ht="18" customHeight="1">
      <c r="A63" s="70">
        <v>4</v>
      </c>
      <c r="B63" s="332" t="s">
        <v>155</v>
      </c>
      <c r="C63" s="333"/>
      <c r="D63" s="107">
        <f>G24</f>
        <v>17.690000000000001</v>
      </c>
      <c r="E63" s="107">
        <f t="shared" ref="E63:H63" si="25">D63*(1+E$59)</f>
        <v>17.955349999999999</v>
      </c>
      <c r="F63" s="107">
        <f t="shared" si="25"/>
        <v>18.224680249999999</v>
      </c>
      <c r="G63" s="107">
        <f t="shared" si="25"/>
        <v>18.498050453749997</v>
      </c>
      <c r="H63" s="107">
        <f t="shared" si="25"/>
        <v>18.775521210556246</v>
      </c>
    </row>
    <row r="64" spans="1:8" ht="18" customHeight="1">
      <c r="A64" s="70">
        <v>5</v>
      </c>
      <c r="B64" s="332" t="s">
        <v>150</v>
      </c>
      <c r="C64" s="333"/>
      <c r="D64" s="107">
        <f>G25</f>
        <v>17.39</v>
      </c>
      <c r="E64" s="107">
        <f t="shared" ref="E64:H64" si="26">D64*(1+E$59)</f>
        <v>17.650849999999998</v>
      </c>
      <c r="F64" s="107">
        <f t="shared" si="26"/>
        <v>17.915612749999998</v>
      </c>
      <c r="G64" s="107">
        <f t="shared" si="26"/>
        <v>18.184346941249995</v>
      </c>
      <c r="H64" s="107">
        <f t="shared" si="26"/>
        <v>18.457112145368743</v>
      </c>
    </row>
    <row r="65" spans="1:8">
      <c r="A65" s="101"/>
      <c r="B65" s="102"/>
      <c r="C65" s="102"/>
      <c r="D65" s="103"/>
      <c r="E65" s="103"/>
      <c r="F65" s="103"/>
      <c r="G65" s="103"/>
      <c r="H65" s="103"/>
    </row>
    <row r="66" spans="1:8">
      <c r="A66" s="221" t="s">
        <v>1</v>
      </c>
      <c r="B66" s="338" t="s">
        <v>163</v>
      </c>
      <c r="C66" s="339"/>
      <c r="D66" s="221" t="s">
        <v>50</v>
      </c>
      <c r="E66" s="221" t="s">
        <v>51</v>
      </c>
      <c r="F66" s="221" t="s">
        <v>52</v>
      </c>
      <c r="G66" s="221" t="s">
        <v>53</v>
      </c>
      <c r="H66" s="221" t="s">
        <v>54</v>
      </c>
    </row>
    <row r="67" spans="1:8">
      <c r="A67" s="221"/>
      <c r="B67" s="340" t="s">
        <v>164</v>
      </c>
      <c r="C67" s="341"/>
      <c r="D67" s="109">
        <f>H59</f>
        <v>1.4999999999999999E-2</v>
      </c>
      <c r="E67" s="109">
        <f>D67</f>
        <v>1.4999999999999999E-2</v>
      </c>
      <c r="F67" s="304">
        <f>E67</f>
        <v>1.4999999999999999E-2</v>
      </c>
      <c r="G67" s="304">
        <f t="shared" ref="G67:H67" si="27">F67</f>
        <v>1.4999999999999999E-2</v>
      </c>
      <c r="H67" s="304">
        <f t="shared" si="27"/>
        <v>1.4999999999999999E-2</v>
      </c>
    </row>
    <row r="68" spans="1:8">
      <c r="A68" s="176">
        <v>1</v>
      </c>
      <c r="B68" s="332" t="s">
        <v>147</v>
      </c>
      <c r="C68" s="333"/>
      <c r="D68" s="107">
        <f>H60*(1+D$67)</f>
        <v>23.010786322970237</v>
      </c>
      <c r="E68" s="107">
        <f>D68*(1+E$67)</f>
        <v>23.355948117814787</v>
      </c>
      <c r="F68" s="107">
        <f t="shared" ref="F68:H68" si="28">E68*(1+F$67)</f>
        <v>23.706287339582005</v>
      </c>
      <c r="G68" s="107">
        <f t="shared" si="28"/>
        <v>24.061881649675733</v>
      </c>
      <c r="H68" s="107">
        <f t="shared" si="28"/>
        <v>24.422809874420867</v>
      </c>
    </row>
    <row r="69" spans="1:8">
      <c r="A69" s="176">
        <v>2</v>
      </c>
      <c r="B69" s="332" t="s">
        <v>148</v>
      </c>
      <c r="C69" s="333"/>
      <c r="D69" s="107">
        <f t="shared" ref="D69:D72" si="29">H61*(1+D$67)</f>
        <v>21.77190971850321</v>
      </c>
      <c r="E69" s="107">
        <f t="shared" ref="E69:H69" si="30">D69*(1+E$67)</f>
        <v>22.098488364280755</v>
      </c>
      <c r="F69" s="107">
        <f t="shared" si="30"/>
        <v>22.429965689744964</v>
      </c>
      <c r="G69" s="107">
        <f t="shared" si="30"/>
        <v>22.766415175091137</v>
      </c>
      <c r="H69" s="107">
        <f t="shared" si="30"/>
        <v>23.107911402717502</v>
      </c>
    </row>
    <row r="70" spans="1:8">
      <c r="A70" s="176">
        <v>3</v>
      </c>
      <c r="B70" s="332" t="s">
        <v>149</v>
      </c>
      <c r="C70" s="333"/>
      <c r="D70" s="107">
        <f t="shared" si="29"/>
        <v>17.473546543004552</v>
      </c>
      <c r="E70" s="107">
        <f t="shared" ref="E70:H70" si="31">D70*(1+E$67)</f>
        <v>17.735649741149619</v>
      </c>
      <c r="F70" s="107">
        <f t="shared" si="31"/>
        <v>18.001684487266861</v>
      </c>
      <c r="G70" s="107">
        <f t="shared" si="31"/>
        <v>18.271709754575863</v>
      </c>
      <c r="H70" s="107">
        <f t="shared" si="31"/>
        <v>18.545785400894498</v>
      </c>
    </row>
    <row r="71" spans="1:8">
      <c r="A71" s="176">
        <v>4</v>
      </c>
      <c r="B71" s="332" t="s">
        <v>155</v>
      </c>
      <c r="C71" s="333"/>
      <c r="D71" s="107">
        <f t="shared" si="29"/>
        <v>19.057154028714589</v>
      </c>
      <c r="E71" s="107">
        <f t="shared" ref="E71:H71" si="32">D71*(1+E$67)</f>
        <v>19.343011339145306</v>
      </c>
      <c r="F71" s="107">
        <f t="shared" si="32"/>
        <v>19.633156509232485</v>
      </c>
      <c r="G71" s="107">
        <f t="shared" si="32"/>
        <v>19.927653856870972</v>
      </c>
      <c r="H71" s="107">
        <f t="shared" si="32"/>
        <v>20.226568664724034</v>
      </c>
    </row>
    <row r="72" spans="1:8">
      <c r="A72" s="176">
        <v>5</v>
      </c>
      <c r="B72" s="332" t="s">
        <v>150</v>
      </c>
      <c r="C72" s="333"/>
      <c r="D72" s="107">
        <f t="shared" si="29"/>
        <v>18.733968827549273</v>
      </c>
      <c r="E72" s="107">
        <f t="shared" ref="E72:H72" si="33">D72*(1+E$67)</f>
        <v>19.014978359962509</v>
      </c>
      <c r="F72" s="107">
        <f t="shared" si="33"/>
        <v>19.300203035361946</v>
      </c>
      <c r="G72" s="107">
        <f t="shared" si="33"/>
        <v>19.589706080892373</v>
      </c>
      <c r="H72" s="107">
        <f t="shared" si="33"/>
        <v>19.883551672105757</v>
      </c>
    </row>
    <row r="73" spans="1:8">
      <c r="A73" s="104"/>
      <c r="B73" s="105"/>
      <c r="C73" s="105"/>
      <c r="D73" s="106"/>
      <c r="E73" s="106"/>
      <c r="F73" s="106"/>
      <c r="G73" s="106"/>
      <c r="H73" s="106"/>
    </row>
    <row r="74" spans="1:8">
      <c r="A74" s="221" t="s">
        <v>1</v>
      </c>
      <c r="B74" s="338" t="s">
        <v>163</v>
      </c>
      <c r="C74" s="339"/>
      <c r="D74" s="221" t="s">
        <v>55</v>
      </c>
      <c r="E74" s="221" t="s">
        <v>56</v>
      </c>
      <c r="F74" s="221" t="s">
        <v>57</v>
      </c>
      <c r="G74" s="221" t="s">
        <v>58</v>
      </c>
      <c r="H74" s="221" t="s">
        <v>59</v>
      </c>
    </row>
    <row r="75" spans="1:8">
      <c r="A75" s="221"/>
      <c r="B75" s="340" t="s">
        <v>164</v>
      </c>
      <c r="C75" s="341"/>
      <c r="D75" s="109">
        <f>H67</f>
        <v>1.4999999999999999E-2</v>
      </c>
      <c r="E75" s="109">
        <f>D75</f>
        <v>1.4999999999999999E-2</v>
      </c>
      <c r="F75" s="304">
        <f>E75</f>
        <v>1.4999999999999999E-2</v>
      </c>
      <c r="G75" s="304">
        <f t="shared" ref="G75:H75" si="34">F75</f>
        <v>1.4999999999999999E-2</v>
      </c>
      <c r="H75" s="304">
        <f t="shared" si="34"/>
        <v>1.4999999999999999E-2</v>
      </c>
    </row>
    <row r="76" spans="1:8">
      <c r="A76" s="176">
        <v>1</v>
      </c>
      <c r="B76" s="332" t="s">
        <v>147</v>
      </c>
      <c r="C76" s="333"/>
      <c r="D76" s="107">
        <f>H68*(1+D$75)</f>
        <v>24.789152022537177</v>
      </c>
      <c r="E76" s="107">
        <f>D76*(1+E$75)</f>
        <v>25.160989302875233</v>
      </c>
      <c r="F76" s="107">
        <f t="shared" ref="F76:H76" si="35">E76*(1+F$75)</f>
        <v>25.538404142418358</v>
      </c>
      <c r="G76" s="107">
        <f t="shared" si="35"/>
        <v>25.92148020455463</v>
      </c>
      <c r="H76" s="107">
        <f t="shared" si="35"/>
        <v>26.310302407622945</v>
      </c>
    </row>
    <row r="77" spans="1:8">
      <c r="A77" s="176">
        <v>2</v>
      </c>
      <c r="B77" s="332" t="s">
        <v>148</v>
      </c>
      <c r="C77" s="333"/>
      <c r="D77" s="107">
        <f t="shared" ref="D77:D80" si="36">H69*(1+D$75)</f>
        <v>23.454530073758264</v>
      </c>
      <c r="E77" s="107">
        <f t="shared" ref="E77:H77" si="37">D77*(1+E$75)</f>
        <v>23.806348024864636</v>
      </c>
      <c r="F77" s="107">
        <f t="shared" si="37"/>
        <v>24.163443245237605</v>
      </c>
      <c r="G77" s="107">
        <f t="shared" si="37"/>
        <v>24.525894893916167</v>
      </c>
      <c r="H77" s="107">
        <f t="shared" si="37"/>
        <v>24.893783317324907</v>
      </c>
    </row>
    <row r="78" spans="1:8">
      <c r="A78" s="176">
        <v>3</v>
      </c>
      <c r="B78" s="332" t="s">
        <v>149</v>
      </c>
      <c r="C78" s="333"/>
      <c r="D78" s="107">
        <f t="shared" si="36"/>
        <v>18.823972181907916</v>
      </c>
      <c r="E78" s="107">
        <f t="shared" ref="E78:H78" si="38">D78*(1+E$75)</f>
        <v>19.106331764636533</v>
      </c>
      <c r="F78" s="107">
        <f t="shared" si="38"/>
        <v>19.392926741106077</v>
      </c>
      <c r="G78" s="107">
        <f t="shared" si="38"/>
        <v>19.683820642222667</v>
      </c>
      <c r="H78" s="107">
        <f t="shared" si="38"/>
        <v>19.979077951856006</v>
      </c>
    </row>
    <row r="79" spans="1:8">
      <c r="A79" s="176">
        <v>4</v>
      </c>
      <c r="B79" s="332" t="s">
        <v>155</v>
      </c>
      <c r="C79" s="333"/>
      <c r="D79" s="107">
        <f t="shared" si="36"/>
        <v>20.529967194694894</v>
      </c>
      <c r="E79" s="107">
        <f t="shared" ref="E79:H79" si="39">D79*(1+E$75)</f>
        <v>20.837916702615317</v>
      </c>
      <c r="F79" s="107">
        <f t="shared" si="39"/>
        <v>21.150485453154545</v>
      </c>
      <c r="G79" s="107">
        <f t="shared" si="39"/>
        <v>21.467742734951862</v>
      </c>
      <c r="H79" s="107">
        <f t="shared" si="39"/>
        <v>21.789758875976137</v>
      </c>
    </row>
    <row r="80" spans="1:8">
      <c r="A80" s="176">
        <v>5</v>
      </c>
      <c r="B80" s="332" t="s">
        <v>150</v>
      </c>
      <c r="C80" s="333"/>
      <c r="D80" s="107">
        <f t="shared" si="36"/>
        <v>20.181804947187342</v>
      </c>
      <c r="E80" s="107">
        <f t="shared" ref="E80:H80" si="40">D80*(1+E$75)</f>
        <v>20.48453202139515</v>
      </c>
      <c r="F80" s="107">
        <f t="shared" si="40"/>
        <v>20.791800001716076</v>
      </c>
      <c r="G80" s="107">
        <f t="shared" si="40"/>
        <v>21.103677001741815</v>
      </c>
      <c r="H80" s="107">
        <f t="shared" si="40"/>
        <v>21.420232156767941</v>
      </c>
    </row>
    <row r="81" spans="1:8">
      <c r="A81" s="104"/>
      <c r="B81" s="105"/>
      <c r="C81" s="105"/>
      <c r="D81" s="106"/>
      <c r="E81" s="106"/>
      <c r="F81" s="106"/>
      <c r="G81" s="106"/>
      <c r="H81" s="106"/>
    </row>
    <row r="82" spans="1:8">
      <c r="A82" s="67" t="s">
        <v>165</v>
      </c>
      <c r="B82" s="67"/>
      <c r="C82" s="67"/>
      <c r="D82" s="67"/>
      <c r="E82" s="67"/>
    </row>
    <row r="83" spans="1:8">
      <c r="A83" s="67"/>
      <c r="B83" s="67"/>
      <c r="C83" s="67"/>
      <c r="D83" s="67"/>
      <c r="E83" s="67"/>
      <c r="G83" s="82" t="s">
        <v>60</v>
      </c>
      <c r="H83" s="30" t="s">
        <v>61</v>
      </c>
    </row>
    <row r="84" spans="1:8" ht="18" customHeight="1">
      <c r="A84" s="209" t="s">
        <v>1</v>
      </c>
      <c r="B84" s="334" t="s">
        <v>166</v>
      </c>
      <c r="C84" s="335"/>
      <c r="D84" s="209" t="s">
        <v>33</v>
      </c>
      <c r="E84" s="209" t="s">
        <v>34</v>
      </c>
      <c r="F84" s="209" t="s">
        <v>35</v>
      </c>
      <c r="G84" s="209" t="s">
        <v>36</v>
      </c>
      <c r="H84" s="209" t="s">
        <v>37</v>
      </c>
    </row>
    <row r="85" spans="1:8" ht="18" customHeight="1">
      <c r="A85" s="70">
        <v>1</v>
      </c>
      <c r="B85" s="332" t="s">
        <v>147</v>
      </c>
      <c r="C85" s="333"/>
      <c r="D85" s="23">
        <f t="shared" ref="D85:H89" si="41">D34*D60</f>
        <v>4272000</v>
      </c>
      <c r="E85" s="23">
        <f t="shared" si="41"/>
        <v>4466162.3999999994</v>
      </c>
      <c r="F85" s="23">
        <f t="shared" si="41"/>
        <v>4669149.4810799994</v>
      </c>
      <c r="G85" s="23">
        <f t="shared" si="41"/>
        <v>4881362.3249950847</v>
      </c>
      <c r="H85" s="23">
        <f t="shared" si="41"/>
        <v>5103220.2426661104</v>
      </c>
    </row>
    <row r="86" spans="1:8" ht="18" customHeight="1">
      <c r="A86" s="70">
        <v>2</v>
      </c>
      <c r="B86" s="332" t="s">
        <v>148</v>
      </c>
      <c r="C86" s="333"/>
      <c r="D86" s="23">
        <f t="shared" si="41"/>
        <v>6063000</v>
      </c>
      <c r="E86" s="23">
        <f t="shared" si="41"/>
        <v>6338563.3499999996</v>
      </c>
      <c r="F86" s="23">
        <f t="shared" si="41"/>
        <v>6626651.0542574991</v>
      </c>
      <c r="G86" s="23">
        <f t="shared" si="41"/>
        <v>6927832.3446735032</v>
      </c>
      <c r="H86" s="23">
        <f t="shared" si="41"/>
        <v>7242702.3247389123</v>
      </c>
    </row>
    <row r="87" spans="1:8" ht="18" customHeight="1">
      <c r="A87" s="70">
        <v>3</v>
      </c>
      <c r="B87" s="332" t="s">
        <v>149</v>
      </c>
      <c r="C87" s="333"/>
      <c r="D87" s="23">
        <f t="shared" si="41"/>
        <v>1622000</v>
      </c>
      <c r="E87" s="23">
        <f t="shared" si="41"/>
        <v>1695719.8999999997</v>
      </c>
      <c r="F87" s="23">
        <f t="shared" si="41"/>
        <v>1772790.3694549997</v>
      </c>
      <c r="G87" s="23">
        <f t="shared" si="41"/>
        <v>1853363.6917467292</v>
      </c>
      <c r="H87" s="23">
        <f t="shared" si="41"/>
        <v>1937599.0715366178</v>
      </c>
    </row>
    <row r="88" spans="1:8" ht="18" customHeight="1">
      <c r="A88" s="70">
        <v>4</v>
      </c>
      <c r="B88" s="332" t="s">
        <v>155</v>
      </c>
      <c r="C88" s="333"/>
      <c r="D88" s="23">
        <f t="shared" si="41"/>
        <v>10614000</v>
      </c>
      <c r="E88" s="23">
        <f t="shared" si="41"/>
        <v>11096406.299999999</v>
      </c>
      <c r="F88" s="23">
        <f t="shared" si="41"/>
        <v>11600737.966334999</v>
      </c>
      <c r="G88" s="23">
        <f t="shared" si="41"/>
        <v>12127991.506904924</v>
      </c>
      <c r="H88" s="23">
        <f t="shared" si="41"/>
        <v>12679208.720893754</v>
      </c>
    </row>
    <row r="89" spans="1:8" ht="18" customHeight="1">
      <c r="A89" s="70">
        <v>5</v>
      </c>
      <c r="B89" s="332" t="s">
        <v>150</v>
      </c>
      <c r="C89" s="333"/>
      <c r="D89" s="23">
        <f t="shared" si="41"/>
        <v>17390000</v>
      </c>
      <c r="E89" s="23">
        <f t="shared" si="41"/>
        <v>18180375.5</v>
      </c>
      <c r="F89" s="23">
        <f t="shared" si="41"/>
        <v>19006673.566474997</v>
      </c>
      <c r="G89" s="23">
        <f t="shared" si="41"/>
        <v>19870526.880071282</v>
      </c>
      <c r="H89" s="23">
        <f t="shared" si="41"/>
        <v>20773642.326770522</v>
      </c>
    </row>
    <row r="90" spans="1:8" ht="18" customHeight="1">
      <c r="A90" s="70">
        <v>6</v>
      </c>
      <c r="B90" s="332" t="s">
        <v>485</v>
      </c>
      <c r="C90" s="333"/>
      <c r="D90" s="23">
        <f>SUM(D85:D89)*$F$26</f>
        <v>1998050</v>
      </c>
      <c r="E90" s="23">
        <f t="shared" ref="E90:H90" si="42">SUM(E85:E89)*$F$26</f>
        <v>2088861.3725000003</v>
      </c>
      <c r="F90" s="23">
        <f t="shared" si="42"/>
        <v>2183800.1218801248</v>
      </c>
      <c r="G90" s="23">
        <f t="shared" si="42"/>
        <v>2283053.8374195765</v>
      </c>
      <c r="H90" s="23">
        <f t="shared" si="42"/>
        <v>2386818.634330296</v>
      </c>
    </row>
    <row r="91" spans="1:8" ht="18" customHeight="1">
      <c r="A91" s="212"/>
      <c r="B91" s="336" t="s">
        <v>167</v>
      </c>
      <c r="C91" s="336"/>
      <c r="D91" s="213">
        <f>SUM(D85:D90)</f>
        <v>41959050</v>
      </c>
      <c r="E91" s="213">
        <f>SUM(E85:E90)</f>
        <v>43866088.822500005</v>
      </c>
      <c r="F91" s="213">
        <f>SUM(F85:F90)</f>
        <v>45859802.559482612</v>
      </c>
      <c r="G91" s="213">
        <f>SUM(G85:G90)</f>
        <v>47944130.585811101</v>
      </c>
      <c r="H91" s="213">
        <f>SUM(H85:H90)</f>
        <v>50123191.32093621</v>
      </c>
    </row>
    <row r="92" spans="1:8">
      <c r="A92" s="104"/>
      <c r="B92" s="105"/>
      <c r="C92" s="105"/>
      <c r="D92" s="106"/>
      <c r="E92" s="106"/>
      <c r="F92" s="106"/>
      <c r="G92" s="106"/>
      <c r="H92" s="106"/>
    </row>
    <row r="93" spans="1:8">
      <c r="A93" s="209" t="s">
        <v>1</v>
      </c>
      <c r="B93" s="334" t="s">
        <v>166</v>
      </c>
      <c r="C93" s="335"/>
      <c r="D93" s="209" t="s">
        <v>50</v>
      </c>
      <c r="E93" s="209" t="s">
        <v>51</v>
      </c>
      <c r="F93" s="209" t="s">
        <v>52</v>
      </c>
      <c r="G93" s="209" t="s">
        <v>53</v>
      </c>
      <c r="H93" s="209" t="s">
        <v>54</v>
      </c>
    </row>
    <row r="94" spans="1:8">
      <c r="A94" s="176">
        <v>1</v>
      </c>
      <c r="B94" s="332" t="s">
        <v>147</v>
      </c>
      <c r="C94" s="333"/>
      <c r="D94" s="23">
        <f>D42*D68</f>
        <v>5335161.6026952844</v>
      </c>
      <c r="E94" s="23">
        <f t="shared" ref="E94:H94" si="43">E42*E68</f>
        <v>5577644.6975377845</v>
      </c>
      <c r="F94" s="23">
        <f t="shared" si="43"/>
        <v>5831148.649040876</v>
      </c>
      <c r="G94" s="23">
        <f t="shared" si="43"/>
        <v>6096174.3551397827</v>
      </c>
      <c r="H94" s="23">
        <f t="shared" si="43"/>
        <v>6373245.4795808857</v>
      </c>
    </row>
    <row r="95" spans="1:8">
      <c r="A95" s="176">
        <v>2</v>
      </c>
      <c r="B95" s="332" t="s">
        <v>148</v>
      </c>
      <c r="C95" s="333"/>
      <c r="D95" s="23">
        <f t="shared" ref="D95:H95" si="44">D43*D69</f>
        <v>7571883.1453982964</v>
      </c>
      <c r="E95" s="23">
        <f t="shared" si="44"/>
        <v>7916025.2343566474</v>
      </c>
      <c r="F95" s="23">
        <f t="shared" si="44"/>
        <v>8275808.5812581563</v>
      </c>
      <c r="G95" s="23">
        <f t="shared" si="44"/>
        <v>8651944.0812763385</v>
      </c>
      <c r="H95" s="23">
        <f t="shared" si="44"/>
        <v>9045174.9397703484</v>
      </c>
    </row>
    <row r="96" spans="1:8">
      <c r="A96" s="176">
        <v>3</v>
      </c>
      <c r="B96" s="332" t="s">
        <v>149</v>
      </c>
      <c r="C96" s="333"/>
      <c r="D96" s="23">
        <f t="shared" ref="D96:H96" si="45">D44*D70</f>
        <v>2025662.9493379565</v>
      </c>
      <c r="E96" s="23">
        <f t="shared" si="45"/>
        <v>2117729.3303853665</v>
      </c>
      <c r="F96" s="23">
        <f t="shared" si="45"/>
        <v>2213980.1284513813</v>
      </c>
      <c r="G96" s="23">
        <f t="shared" si="45"/>
        <v>2314605.5252894964</v>
      </c>
      <c r="H96" s="23">
        <f t="shared" si="45"/>
        <v>2419804.3464139039</v>
      </c>
    </row>
    <row r="97" spans="1:8">
      <c r="A97" s="176">
        <v>4</v>
      </c>
      <c r="B97" s="332" t="s">
        <v>155</v>
      </c>
      <c r="C97" s="333"/>
      <c r="D97" s="23">
        <f t="shared" ref="D97:H97" si="46">D45*D71</f>
        <v>13255478.757258374</v>
      </c>
      <c r="E97" s="23">
        <f t="shared" si="46"/>
        <v>13857940.266775766</v>
      </c>
      <c r="F97" s="23">
        <f t="shared" si="46"/>
        <v>14487783.651900724</v>
      </c>
      <c r="G97" s="23">
        <f t="shared" si="46"/>
        <v>15146253.418879611</v>
      </c>
      <c r="H97" s="23">
        <f t="shared" si="46"/>
        <v>15834650.636767689</v>
      </c>
    </row>
    <row r="98" spans="1:8">
      <c r="A98" s="176">
        <v>5</v>
      </c>
      <c r="B98" s="332" t="s">
        <v>150</v>
      </c>
      <c r="C98" s="333"/>
      <c r="D98" s="23">
        <f t="shared" ref="D98:H98" si="47">D46*D72</f>
        <v>21717804.370522238</v>
      </c>
      <c r="E98" s="23">
        <f t="shared" si="47"/>
        <v>22704878.579162471</v>
      </c>
      <c r="F98" s="23">
        <f t="shared" si="47"/>
        <v>23736815.310585406</v>
      </c>
      <c r="G98" s="23">
        <f t="shared" si="47"/>
        <v>24815653.566451512</v>
      </c>
      <c r="H98" s="23">
        <f t="shared" si="47"/>
        <v>25943525.021046732</v>
      </c>
    </row>
    <row r="99" spans="1:8">
      <c r="A99" s="176">
        <v>6</v>
      </c>
      <c r="B99" s="332" t="s">
        <v>485</v>
      </c>
      <c r="C99" s="333"/>
      <c r="D99" s="23">
        <f>SUM(D94:D98)*$F$26</f>
        <v>2495299.5412606075</v>
      </c>
      <c r="E99" s="23">
        <f t="shared" ref="E99:H99" si="48">SUM(E94:E98)*$F$26</f>
        <v>2608710.9054109021</v>
      </c>
      <c r="F99" s="23">
        <f t="shared" si="48"/>
        <v>2727276.8160618274</v>
      </c>
      <c r="G99" s="23">
        <f t="shared" si="48"/>
        <v>2851231.5473518372</v>
      </c>
      <c r="H99" s="23">
        <f t="shared" si="48"/>
        <v>2980820.021178978</v>
      </c>
    </row>
    <row r="100" spans="1:8">
      <c r="A100" s="212"/>
      <c r="B100" s="336" t="s">
        <v>167</v>
      </c>
      <c r="C100" s="336"/>
      <c r="D100" s="213">
        <f>SUM(D94:D99)</f>
        <v>52401290.366472758</v>
      </c>
      <c r="E100" s="213">
        <f>SUM(E94:E99)</f>
        <v>54782929.013628937</v>
      </c>
      <c r="F100" s="213">
        <f>SUM(F94:F99)</f>
        <v>57272813.137298368</v>
      </c>
      <c r="G100" s="213">
        <f>SUM(G94:G99)</f>
        <v>59875862.49438858</v>
      </c>
      <c r="H100" s="213">
        <f>SUM(H94:H99)</f>
        <v>62597220.444758534</v>
      </c>
    </row>
    <row r="101" spans="1:8">
      <c r="A101" s="104"/>
      <c r="B101" s="105"/>
      <c r="C101" s="105"/>
      <c r="D101" s="106"/>
      <c r="E101" s="106"/>
      <c r="F101" s="106"/>
      <c r="G101" s="106"/>
      <c r="H101" s="106"/>
    </row>
    <row r="102" spans="1:8">
      <c r="A102" s="209" t="s">
        <v>1</v>
      </c>
      <c r="B102" s="334" t="s">
        <v>166</v>
      </c>
      <c r="C102" s="335"/>
      <c r="D102" s="209" t="s">
        <v>55</v>
      </c>
      <c r="E102" s="209" t="s">
        <v>56</v>
      </c>
      <c r="F102" s="209" t="s">
        <v>57</v>
      </c>
      <c r="G102" s="209" t="s">
        <v>58</v>
      </c>
      <c r="H102" s="209" t="s">
        <v>59</v>
      </c>
    </row>
    <row r="103" spans="1:8">
      <c r="A103" s="176">
        <v>1</v>
      </c>
      <c r="B103" s="332" t="s">
        <v>147</v>
      </c>
      <c r="C103" s="333"/>
      <c r="D103" s="23">
        <f>D50*D76</f>
        <v>6662909.4866278358</v>
      </c>
      <c r="E103" s="23">
        <f t="shared" ref="E103:H103" si="49">E50*E76</f>
        <v>6965738.7227950711</v>
      </c>
      <c r="F103" s="23">
        <f t="shared" si="49"/>
        <v>7282331.547746107</v>
      </c>
      <c r="G103" s="23">
        <f t="shared" si="49"/>
        <v>7613313.5165911661</v>
      </c>
      <c r="H103" s="23">
        <f t="shared" si="49"/>
        <v>7959338.6159202345</v>
      </c>
    </row>
    <row r="104" spans="1:8">
      <c r="A104" s="176">
        <v>2</v>
      </c>
      <c r="B104" s="332" t="s">
        <v>148</v>
      </c>
      <c r="C104" s="333"/>
      <c r="D104" s="23">
        <f t="shared" ref="D104:H104" si="50">D51*D77</f>
        <v>9456278.1407829095</v>
      </c>
      <c r="E104" s="23">
        <f t="shared" si="50"/>
        <v>9886065.982281493</v>
      </c>
      <c r="F104" s="23">
        <f t="shared" si="50"/>
        <v>10335387.681176187</v>
      </c>
      <c r="G104" s="23">
        <f t="shared" si="50"/>
        <v>10805131.051285645</v>
      </c>
      <c r="H104" s="23">
        <f t="shared" si="50"/>
        <v>11296224.257566577</v>
      </c>
    </row>
    <row r="105" spans="1:8">
      <c r="A105" s="176">
        <v>3</v>
      </c>
      <c r="B105" s="332" t="s">
        <v>149</v>
      </c>
      <c r="C105" s="333"/>
      <c r="D105" s="23">
        <f t="shared" ref="D105:H105" si="51">D52*D78</f>
        <v>2529784.4539584159</v>
      </c>
      <c r="E105" s="23">
        <f t="shared" si="51"/>
        <v>2644763.1573908259</v>
      </c>
      <c r="F105" s="23">
        <f t="shared" si="51"/>
        <v>2764967.6428942382</v>
      </c>
      <c r="G105" s="23">
        <f t="shared" si="51"/>
        <v>2890635.4222637815</v>
      </c>
      <c r="H105" s="23">
        <f t="shared" si="51"/>
        <v>3022014.8022056702</v>
      </c>
    </row>
    <row r="106" spans="1:8">
      <c r="A106" s="176">
        <v>4</v>
      </c>
      <c r="B106" s="332" t="s">
        <v>155</v>
      </c>
      <c r="C106" s="333"/>
      <c r="D106" s="23">
        <f t="shared" ref="D106:H106" si="52">D53*D79</f>
        <v>16554335.508208781</v>
      </c>
      <c r="E106" s="23">
        <f t="shared" si="52"/>
        <v>17306730.05705687</v>
      </c>
      <c r="F106" s="23">
        <f t="shared" si="52"/>
        <v>18093320.938150104</v>
      </c>
      <c r="G106" s="23">
        <f t="shared" si="52"/>
        <v>18915662.374789029</v>
      </c>
      <c r="H106" s="23">
        <f t="shared" si="52"/>
        <v>19775379.229723185</v>
      </c>
    </row>
    <row r="107" spans="1:8">
      <c r="A107" s="176">
        <v>5</v>
      </c>
      <c r="B107" s="332" t="s">
        <v>150</v>
      </c>
      <c r="C107" s="333"/>
      <c r="D107" s="23">
        <f t="shared" ref="D107:H107" si="53">D54*D80</f>
        <v>27122658.2332533</v>
      </c>
      <c r="E107" s="23">
        <f t="shared" si="53"/>
        <v>28355383.049954664</v>
      </c>
      <c r="F107" s="23">
        <f t="shared" si="53"/>
        <v>29644135.209575102</v>
      </c>
      <c r="G107" s="23">
        <f t="shared" si="53"/>
        <v>30991461.154850286</v>
      </c>
      <c r="H107" s="23">
        <f t="shared" si="53"/>
        <v>32400023.06433823</v>
      </c>
    </row>
    <row r="108" spans="1:8">
      <c r="A108" s="176">
        <v>6</v>
      </c>
      <c r="B108" s="332" t="s">
        <v>485</v>
      </c>
      <c r="C108" s="333"/>
      <c r="D108" s="23">
        <f>SUM(D103:D107)*$F$26</f>
        <v>3116298.2911415622</v>
      </c>
      <c r="E108" s="23">
        <f t="shared" ref="E108" si="54">SUM(E103:E107)*$F$26</f>
        <v>3257934.0484739463</v>
      </c>
      <c r="F108" s="23">
        <f t="shared" ref="F108" si="55">SUM(F103:F107)*$F$26</f>
        <v>3406007.1509770872</v>
      </c>
      <c r="G108" s="23">
        <f t="shared" ref="G108" si="56">SUM(G103:G107)*$F$26</f>
        <v>3560810.1759889955</v>
      </c>
      <c r="H108" s="23">
        <f t="shared" ref="H108" si="57">SUM(H103:H107)*$F$26</f>
        <v>3722648.9984876947</v>
      </c>
    </row>
    <row r="109" spans="1:8">
      <c r="A109" s="212"/>
      <c r="B109" s="336" t="s">
        <v>167</v>
      </c>
      <c r="C109" s="336"/>
      <c r="D109" s="213">
        <f>SUM(D103:D108)</f>
        <v>65442264.113972805</v>
      </c>
      <c r="E109" s="213">
        <f>SUM(E103:E108)</f>
        <v>68416615.017952859</v>
      </c>
      <c r="F109" s="213">
        <f>SUM(F103:F108)</f>
        <v>71526150.17051883</v>
      </c>
      <c r="G109" s="213">
        <f>SUM(G103:G108)</f>
        <v>74777013.695768908</v>
      </c>
      <c r="H109" s="213">
        <f>SUM(H103:H108)</f>
        <v>78175628.968241587</v>
      </c>
    </row>
    <row r="110" spans="1:8">
      <c r="A110" s="104"/>
      <c r="B110" s="105"/>
      <c r="C110" s="105"/>
      <c r="D110" s="106"/>
      <c r="E110" s="106"/>
      <c r="F110" s="106"/>
      <c r="G110" s="106"/>
      <c r="H110" s="106"/>
    </row>
    <row r="111" spans="1:8" ht="18" customHeight="1">
      <c r="A111" s="314" t="s">
        <v>168</v>
      </c>
      <c r="B111" s="314"/>
      <c r="C111" s="314"/>
      <c r="D111" s="314"/>
      <c r="E111" s="314"/>
      <c r="F111" s="314"/>
      <c r="G111" s="314"/>
      <c r="H111" s="314"/>
    </row>
    <row r="112" spans="1:8" ht="18" customHeight="1">
      <c r="A112" s="7" t="s">
        <v>67</v>
      </c>
    </row>
    <row r="113" spans="1:8" ht="18" customHeight="1">
      <c r="A113" s="7" t="s">
        <v>63</v>
      </c>
    </row>
    <row r="114" spans="1:8" ht="18" customHeight="1">
      <c r="A114" s="8" t="s">
        <v>64</v>
      </c>
    </row>
    <row r="115" spans="1:8" ht="18" customHeight="1">
      <c r="A115" s="8" t="s">
        <v>65</v>
      </c>
      <c r="C115" s="31">
        <v>0.1</v>
      </c>
      <c r="D115" s="229" t="s">
        <v>340</v>
      </c>
    </row>
    <row r="116" spans="1:8" ht="18" customHeight="1">
      <c r="A116" s="8" t="s">
        <v>69</v>
      </c>
      <c r="C116" s="31">
        <v>0.215</v>
      </c>
      <c r="D116" s="8" t="s">
        <v>68</v>
      </c>
    </row>
    <row r="117" spans="1:8" ht="18" customHeight="1">
      <c r="A117" s="8" t="s">
        <v>71</v>
      </c>
      <c r="C117" s="3">
        <v>13</v>
      </c>
      <c r="D117" s="8" t="s">
        <v>70</v>
      </c>
    </row>
    <row r="118" spans="1:8" ht="18" customHeight="1">
      <c r="A118" s="8" t="s">
        <v>73</v>
      </c>
      <c r="C118" s="31">
        <v>0.03</v>
      </c>
      <c r="D118" s="8" t="s">
        <v>72</v>
      </c>
    </row>
    <row r="119" spans="1:8" ht="21.75" customHeight="1">
      <c r="A119" s="9" t="s">
        <v>96</v>
      </c>
      <c r="B119" s="9"/>
    </row>
    <row r="120" spans="1:8" ht="16.5" customHeight="1">
      <c r="A120" s="9"/>
      <c r="B120" s="9"/>
      <c r="G120" s="29" t="s">
        <v>60</v>
      </c>
      <c r="H120" s="30" t="s">
        <v>61</v>
      </c>
    </row>
    <row r="121" spans="1:8" ht="54" customHeight="1">
      <c r="A121" s="32" t="s">
        <v>1</v>
      </c>
      <c r="B121" s="32" t="s">
        <v>75</v>
      </c>
      <c r="C121" s="32" t="s">
        <v>74</v>
      </c>
      <c r="D121" s="32" t="s">
        <v>76</v>
      </c>
      <c r="E121" s="32" t="s">
        <v>77</v>
      </c>
      <c r="F121" s="33" t="s">
        <v>78</v>
      </c>
      <c r="G121" s="34" t="s">
        <v>79</v>
      </c>
      <c r="H121" s="35" t="s">
        <v>80</v>
      </c>
    </row>
    <row r="122" spans="1:8" ht="17.100000000000001" customHeight="1">
      <c r="A122" s="45">
        <v>1</v>
      </c>
      <c r="B122" s="71" t="s">
        <v>169</v>
      </c>
      <c r="C122" s="45">
        <v>1</v>
      </c>
      <c r="D122" s="44">
        <v>15000</v>
      </c>
      <c r="E122" s="44">
        <f>D122*10%</f>
        <v>1500</v>
      </c>
      <c r="F122" s="44">
        <f>D122+E122</f>
        <v>16500</v>
      </c>
      <c r="G122" s="44">
        <f>F122*$C$117*C122</f>
        <v>214500</v>
      </c>
      <c r="H122" s="44">
        <f>D122*12*$C$116*C122</f>
        <v>38700</v>
      </c>
    </row>
    <row r="123" spans="1:8" ht="17.100000000000001" customHeight="1">
      <c r="A123" s="45">
        <v>2</v>
      </c>
      <c r="B123" s="71" t="s">
        <v>170</v>
      </c>
      <c r="C123" s="45">
        <v>6</v>
      </c>
      <c r="D123" s="44">
        <v>7000</v>
      </c>
      <c r="E123" s="44">
        <f t="shared" ref="E123:E125" si="58">D123*10%</f>
        <v>700</v>
      </c>
      <c r="F123" s="44">
        <f t="shared" ref="F123:F125" si="59">D123+E123</f>
        <v>7700</v>
      </c>
      <c r="G123" s="44">
        <f>F123*$C$117*C123</f>
        <v>600600</v>
      </c>
      <c r="H123" s="44">
        <f t="shared" ref="H123:H125" si="60">D123*12*$C$116*C123</f>
        <v>108360</v>
      </c>
    </row>
    <row r="124" spans="1:8" ht="17.100000000000001" customHeight="1">
      <c r="A124" s="45">
        <v>3</v>
      </c>
      <c r="B124" s="71" t="s">
        <v>171</v>
      </c>
      <c r="C124" s="45">
        <v>2</v>
      </c>
      <c r="D124" s="44">
        <v>5000</v>
      </c>
      <c r="E124" s="44">
        <f t="shared" si="58"/>
        <v>500</v>
      </c>
      <c r="F124" s="44">
        <f t="shared" si="59"/>
        <v>5500</v>
      </c>
      <c r="G124" s="44">
        <f t="shared" ref="G124:G125" si="61">F124*$C$117*C124</f>
        <v>143000</v>
      </c>
      <c r="H124" s="44">
        <f t="shared" si="60"/>
        <v>25800</v>
      </c>
    </row>
    <row r="125" spans="1:8" ht="17.100000000000001" customHeight="1">
      <c r="A125" s="45">
        <v>4</v>
      </c>
      <c r="B125" s="71" t="s">
        <v>172</v>
      </c>
      <c r="C125" s="45">
        <v>1</v>
      </c>
      <c r="D125" s="44">
        <v>5000</v>
      </c>
      <c r="E125" s="44">
        <f t="shared" si="58"/>
        <v>500</v>
      </c>
      <c r="F125" s="44">
        <f t="shared" si="59"/>
        <v>5500</v>
      </c>
      <c r="G125" s="44">
        <f t="shared" si="61"/>
        <v>71500</v>
      </c>
      <c r="H125" s="44">
        <f t="shared" si="60"/>
        <v>12900</v>
      </c>
    </row>
    <row r="126" spans="1:8" ht="17.100000000000001" customHeight="1">
      <c r="A126" s="45"/>
      <c r="B126" s="40" t="s">
        <v>89</v>
      </c>
      <c r="C126" s="39">
        <f t="shared" ref="C126:H126" si="62">SUM(C122:C125)</f>
        <v>10</v>
      </c>
      <c r="D126" s="38">
        <f t="shared" si="62"/>
        <v>32000</v>
      </c>
      <c r="E126" s="38">
        <f t="shared" si="62"/>
        <v>3200</v>
      </c>
      <c r="F126" s="38">
        <f t="shared" si="62"/>
        <v>35200</v>
      </c>
      <c r="G126" s="38">
        <f t="shared" si="62"/>
        <v>1029600</v>
      </c>
      <c r="H126" s="38">
        <f t="shared" si="62"/>
        <v>185760</v>
      </c>
    </row>
    <row r="128" spans="1:8" ht="18.75" customHeight="1">
      <c r="A128" s="9" t="s">
        <v>97</v>
      </c>
    </row>
    <row r="129" spans="1:9" ht="16.5" customHeight="1">
      <c r="A129" s="9"/>
      <c r="G129" s="29" t="s">
        <v>60</v>
      </c>
      <c r="H129" s="30" t="s">
        <v>61</v>
      </c>
    </row>
    <row r="130" spans="1:9" ht="17.100000000000001" customHeight="1">
      <c r="A130" s="40" t="s">
        <v>1</v>
      </c>
      <c r="B130" s="316" t="s">
        <v>90</v>
      </c>
      <c r="C130" s="316"/>
      <c r="D130" s="40" t="s">
        <v>33</v>
      </c>
      <c r="E130" s="40" t="s">
        <v>34</v>
      </c>
      <c r="F130" s="40" t="s">
        <v>35</v>
      </c>
      <c r="G130" s="40" t="s">
        <v>36</v>
      </c>
      <c r="H130" s="12" t="s">
        <v>37</v>
      </c>
    </row>
    <row r="131" spans="1:9" ht="17.100000000000001" customHeight="1">
      <c r="A131" s="45">
        <v>1</v>
      </c>
      <c r="B131" s="317" t="s">
        <v>91</v>
      </c>
      <c r="C131" s="317"/>
      <c r="D131" s="305">
        <v>0</v>
      </c>
      <c r="E131" s="305">
        <f>C118</f>
        <v>0.03</v>
      </c>
      <c r="F131" s="305">
        <f>E131*(1+$C$118)</f>
        <v>3.09E-2</v>
      </c>
      <c r="G131" s="305">
        <f t="shared" ref="G131:H131" si="63">F131*(1+$C$118)</f>
        <v>3.1827000000000001E-2</v>
      </c>
      <c r="H131" s="305">
        <f t="shared" si="63"/>
        <v>3.2781810000000002E-2</v>
      </c>
    </row>
    <row r="132" spans="1:9" ht="17.100000000000001" customHeight="1">
      <c r="A132" s="45">
        <v>2</v>
      </c>
      <c r="B132" s="317" t="s">
        <v>92</v>
      </c>
      <c r="C132" s="317"/>
      <c r="D132" s="23">
        <f>G126</f>
        <v>1029600</v>
      </c>
      <c r="E132" s="23">
        <f>D132*(1+E131)</f>
        <v>1060488</v>
      </c>
      <c r="F132" s="23">
        <f t="shared" ref="F132:H132" si="64">E132*(1+F131)</f>
        <v>1093257.0792</v>
      </c>
      <c r="G132" s="23">
        <f t="shared" si="64"/>
        <v>1128052.1722596984</v>
      </c>
      <c r="H132" s="23">
        <f t="shared" si="64"/>
        <v>1165031.764240803</v>
      </c>
      <c r="I132" s="37"/>
    </row>
    <row r="133" spans="1:9" ht="17.100000000000001" customHeight="1">
      <c r="A133" s="45">
        <v>3</v>
      </c>
      <c r="B133" s="317" t="s">
        <v>93</v>
      </c>
      <c r="C133" s="317"/>
      <c r="D133" s="143">
        <f>H126</f>
        <v>185760</v>
      </c>
      <c r="E133" s="23">
        <f>$D$133*(1+E131)</f>
        <v>191332.80000000002</v>
      </c>
      <c r="F133" s="23">
        <f t="shared" ref="F133:H133" si="65">$D$133*(1+F131)</f>
        <v>191499.984</v>
      </c>
      <c r="G133" s="23">
        <f t="shared" si="65"/>
        <v>191672.18352000002</v>
      </c>
      <c r="H133" s="23">
        <f t="shared" si="65"/>
        <v>191849.54902559999</v>
      </c>
      <c r="I133" s="37"/>
    </row>
    <row r="134" spans="1:9">
      <c r="B134" s="308"/>
      <c r="C134" s="308"/>
    </row>
    <row r="135" spans="1:9">
      <c r="A135" s="221" t="s">
        <v>1</v>
      </c>
      <c r="B135" s="316" t="s">
        <v>90</v>
      </c>
      <c r="C135" s="316"/>
      <c r="D135" s="221" t="s">
        <v>50</v>
      </c>
      <c r="E135" s="221" t="s">
        <v>51</v>
      </c>
      <c r="F135" s="221" t="s">
        <v>52</v>
      </c>
      <c r="G135" s="221" t="s">
        <v>53</v>
      </c>
      <c r="H135" s="221" t="s">
        <v>54</v>
      </c>
    </row>
    <row r="136" spans="1:9">
      <c r="A136" s="176">
        <v>1</v>
      </c>
      <c r="B136" s="317" t="s">
        <v>91</v>
      </c>
      <c r="C136" s="317"/>
      <c r="D136" s="144">
        <f>H131</f>
        <v>3.2781810000000002E-2</v>
      </c>
      <c r="E136" s="144">
        <f>D136</f>
        <v>3.2781810000000002E-2</v>
      </c>
      <c r="F136" s="144">
        <f t="shared" ref="F136:H136" si="66">E136</f>
        <v>3.2781810000000002E-2</v>
      </c>
      <c r="G136" s="144">
        <f t="shared" si="66"/>
        <v>3.2781810000000002E-2</v>
      </c>
      <c r="H136" s="144">
        <f t="shared" si="66"/>
        <v>3.2781810000000002E-2</v>
      </c>
    </row>
    <row r="137" spans="1:9">
      <c r="A137" s="176">
        <v>2</v>
      </c>
      <c r="B137" s="317" t="s">
        <v>92</v>
      </c>
      <c r="C137" s="317"/>
      <c r="D137" s="23">
        <f>H132*(1+D136)</f>
        <v>1203223.6141801097</v>
      </c>
      <c r="E137" s="23">
        <f>D137*(1+E136)</f>
        <v>1242667.4620876752</v>
      </c>
      <c r="F137" s="23">
        <f t="shared" ref="F137:H137" si="67">E137*(1+F136)</f>
        <v>1283404.3507230154</v>
      </c>
      <c r="G137" s="23">
        <f t="shared" si="67"/>
        <v>1325476.6683015905</v>
      </c>
      <c r="H137" s="23">
        <f t="shared" si="67"/>
        <v>1368928.1926012861</v>
      </c>
    </row>
    <row r="138" spans="1:9">
      <c r="A138" s="176">
        <v>3</v>
      </c>
      <c r="B138" s="317" t="s">
        <v>93</v>
      </c>
      <c r="C138" s="317"/>
      <c r="D138" s="143">
        <f>H133*(1+D136)</f>
        <v>198138.72449034287</v>
      </c>
      <c r="E138" s="23">
        <f>D138*(1+E136)</f>
        <v>204634.07051022761</v>
      </c>
      <c r="F138" s="23">
        <f t="shared" ref="F138:H138" si="68">E138*(1+F136)</f>
        <v>211342.34572922048</v>
      </c>
      <c r="G138" s="23">
        <f t="shared" si="68"/>
        <v>218270.53035187008</v>
      </c>
      <c r="H138" s="23">
        <f t="shared" si="68"/>
        <v>225425.83340646431</v>
      </c>
    </row>
    <row r="139" spans="1:9">
      <c r="A139" s="222"/>
      <c r="B139" s="220"/>
      <c r="C139" s="220"/>
      <c r="D139" s="222"/>
    </row>
    <row r="140" spans="1:9">
      <c r="A140" s="221" t="s">
        <v>1</v>
      </c>
      <c r="B140" s="316" t="s">
        <v>90</v>
      </c>
      <c r="C140" s="316"/>
      <c r="D140" s="221" t="s">
        <v>55</v>
      </c>
      <c r="E140" s="221" t="s">
        <v>56</v>
      </c>
      <c r="F140" s="221" t="s">
        <v>57</v>
      </c>
      <c r="G140" s="221" t="s">
        <v>58</v>
      </c>
      <c r="H140" s="221" t="s">
        <v>59</v>
      </c>
    </row>
    <row r="141" spans="1:9">
      <c r="A141" s="176">
        <v>1</v>
      </c>
      <c r="B141" s="317" t="s">
        <v>91</v>
      </c>
      <c r="C141" s="317"/>
      <c r="D141" s="144">
        <f>H136</f>
        <v>3.2781810000000002E-2</v>
      </c>
      <c r="E141" s="144">
        <f>D141</f>
        <v>3.2781810000000002E-2</v>
      </c>
      <c r="F141" s="144">
        <f t="shared" ref="F141:H141" si="69">E141</f>
        <v>3.2781810000000002E-2</v>
      </c>
      <c r="G141" s="144">
        <f t="shared" si="69"/>
        <v>3.2781810000000002E-2</v>
      </c>
      <c r="H141" s="144">
        <f t="shared" si="69"/>
        <v>3.2781810000000002E-2</v>
      </c>
    </row>
    <row r="142" spans="1:9">
      <c r="A142" s="176">
        <v>2</v>
      </c>
      <c r="B142" s="317" t="s">
        <v>92</v>
      </c>
      <c r="C142" s="317"/>
      <c r="D142" s="23">
        <f>H137*(1+D141)</f>
        <v>1413804.1365147848</v>
      </c>
      <c r="E142" s="23">
        <f>D142*(1+E141)</f>
        <v>1460151.1950952264</v>
      </c>
      <c r="F142" s="23">
        <f t="shared" ref="F142" si="70">E142*(1+F141)</f>
        <v>1508017.5941441108</v>
      </c>
      <c r="G142" s="23">
        <f t="shared" ref="G142" si="71">F142*(1+G141)</f>
        <v>1557453.1403920001</v>
      </c>
      <c r="H142" s="23">
        <f t="shared" ref="H142" si="72">G142*(1+H141)</f>
        <v>1608509.2733242337</v>
      </c>
    </row>
    <row r="143" spans="1:9">
      <c r="A143" s="176">
        <v>3</v>
      </c>
      <c r="B143" s="317" t="s">
        <v>93</v>
      </c>
      <c r="C143" s="317"/>
      <c r="D143" s="143">
        <f>H138*(1+D141)</f>
        <v>232815.70024628667</v>
      </c>
      <c r="E143" s="23">
        <f>D143*(1+E141)</f>
        <v>240447.82029677735</v>
      </c>
      <c r="F143" s="23">
        <f t="shared" ref="F143:H143" si="73">E143*(1+F141)</f>
        <v>248330.13505666042</v>
      </c>
      <c r="G143" s="23">
        <f t="shared" si="73"/>
        <v>256470.84636136217</v>
      </c>
      <c r="H143" s="23">
        <f t="shared" si="73"/>
        <v>264878.4249173195</v>
      </c>
    </row>
    <row r="144" spans="1:9">
      <c r="A144" s="222"/>
      <c r="B144" s="220"/>
      <c r="C144" s="220"/>
      <c r="D144" s="222"/>
    </row>
    <row r="145" spans="1:8">
      <c r="A145" s="84" t="s">
        <v>234</v>
      </c>
      <c r="B145" s="96"/>
      <c r="C145" s="96"/>
      <c r="D145" s="96"/>
    </row>
    <row r="146" spans="1:8">
      <c r="A146" s="318" t="s">
        <v>266</v>
      </c>
      <c r="B146" s="318"/>
      <c r="C146" s="318"/>
      <c r="D146" s="31">
        <v>0.92</v>
      </c>
      <c r="E146" s="308" t="s">
        <v>268</v>
      </c>
      <c r="F146" s="308"/>
      <c r="G146" s="308"/>
      <c r="H146" s="308"/>
    </row>
    <row r="147" spans="1:8">
      <c r="A147" s="318" t="s">
        <v>488</v>
      </c>
      <c r="B147" s="318"/>
      <c r="C147" s="318"/>
      <c r="D147" s="31">
        <v>0.8</v>
      </c>
      <c r="E147" s="220" t="s">
        <v>489</v>
      </c>
      <c r="F147" s="220"/>
      <c r="G147" s="220"/>
      <c r="H147" s="220"/>
    </row>
    <row r="148" spans="1:8">
      <c r="A148" s="318" t="s">
        <v>243</v>
      </c>
      <c r="B148" s="318"/>
      <c r="C148" s="318"/>
      <c r="D148" s="31">
        <v>5.0000000000000001E-3</v>
      </c>
      <c r="E148" s="308" t="s">
        <v>265</v>
      </c>
      <c r="F148" s="308"/>
      <c r="G148" s="308"/>
      <c r="H148" s="308"/>
    </row>
    <row r="149" spans="1:8">
      <c r="A149" s="318" t="s">
        <v>248</v>
      </c>
      <c r="B149" s="318"/>
      <c r="C149" s="318"/>
      <c r="D149" s="31">
        <v>5.0000000000000001E-3</v>
      </c>
      <c r="E149" s="308" t="s">
        <v>265</v>
      </c>
      <c r="F149" s="308"/>
      <c r="G149" s="308"/>
      <c r="H149" s="308"/>
    </row>
    <row r="150" spans="1:8">
      <c r="A150" s="104"/>
      <c r="B150" s="155"/>
      <c r="C150" s="155"/>
      <c r="D150" s="156"/>
      <c r="E150" s="157"/>
      <c r="F150" s="157"/>
      <c r="G150" s="157"/>
      <c r="H150" s="157"/>
    </row>
    <row r="151" spans="1:8">
      <c r="A151" s="331" t="s">
        <v>249</v>
      </c>
      <c r="B151" s="331"/>
      <c r="C151" s="331"/>
      <c r="D151" s="331"/>
      <c r="E151" s="331"/>
      <c r="F151" s="331"/>
      <c r="G151" s="331"/>
      <c r="H151" s="331"/>
    </row>
    <row r="152" spans="1:8">
      <c r="A152" s="104"/>
      <c r="B152" s="155"/>
      <c r="C152" s="155"/>
      <c r="D152" s="156"/>
      <c r="E152" s="157"/>
      <c r="F152" s="157"/>
      <c r="G152" s="82" t="s">
        <v>60</v>
      </c>
      <c r="H152" s="30" t="s">
        <v>61</v>
      </c>
    </row>
    <row r="153" spans="1:8">
      <c r="A153" s="319" t="s">
        <v>1</v>
      </c>
      <c r="B153" s="316" t="s">
        <v>90</v>
      </c>
      <c r="C153" s="316"/>
      <c r="D153" s="163" t="s">
        <v>33</v>
      </c>
      <c r="E153" s="164" t="s">
        <v>34</v>
      </c>
      <c r="F153" s="163" t="s">
        <v>35</v>
      </c>
      <c r="G153" s="164" t="s">
        <v>36</v>
      </c>
      <c r="H153" s="163" t="s">
        <v>37</v>
      </c>
    </row>
    <row r="154" spans="1:8">
      <c r="A154" s="319"/>
      <c r="B154" s="316" t="s">
        <v>94</v>
      </c>
      <c r="C154" s="316"/>
      <c r="D154" s="165">
        <v>1</v>
      </c>
      <c r="E154" s="166">
        <v>2</v>
      </c>
      <c r="F154" s="166">
        <v>3</v>
      </c>
      <c r="G154" s="166">
        <v>4</v>
      </c>
      <c r="H154" s="166">
        <v>5</v>
      </c>
    </row>
    <row r="155" spans="1:8">
      <c r="A155" s="95">
        <v>1</v>
      </c>
      <c r="B155" s="317" t="s">
        <v>250</v>
      </c>
      <c r="C155" s="317"/>
      <c r="D155" s="143">
        <f>D132</f>
        <v>1029600</v>
      </c>
      <c r="E155" s="143">
        <f t="shared" ref="E155:H155" si="74">E132</f>
        <v>1060488</v>
      </c>
      <c r="F155" s="143">
        <f t="shared" si="74"/>
        <v>1093257.0792</v>
      </c>
      <c r="G155" s="143">
        <f t="shared" si="74"/>
        <v>1128052.1722596984</v>
      </c>
      <c r="H155" s="143">
        <f t="shared" si="74"/>
        <v>1165031.764240803</v>
      </c>
    </row>
    <row r="156" spans="1:8">
      <c r="A156" s="95">
        <v>2</v>
      </c>
      <c r="B156" s="317" t="s">
        <v>251</v>
      </c>
      <c r="C156" s="317"/>
      <c r="D156" s="143">
        <f>D133</f>
        <v>185760</v>
      </c>
      <c r="E156" s="143">
        <f t="shared" ref="E156:H156" si="75">E133</f>
        <v>191332.80000000002</v>
      </c>
      <c r="F156" s="143">
        <f t="shared" si="75"/>
        <v>191499.984</v>
      </c>
      <c r="G156" s="143">
        <f t="shared" si="75"/>
        <v>191672.18352000002</v>
      </c>
      <c r="H156" s="143">
        <f t="shared" si="75"/>
        <v>191849.54902559999</v>
      </c>
    </row>
    <row r="157" spans="1:8">
      <c r="A157" s="95">
        <v>3</v>
      </c>
      <c r="B157" s="317" t="s">
        <v>267</v>
      </c>
      <c r="C157" s="317"/>
      <c r="D157" s="143">
        <f>$D$146*SUM(D85:D89)</f>
        <v>36764120</v>
      </c>
      <c r="E157" s="143">
        <f t="shared" ref="E157:H157" si="76">$D$146*SUM(E85:E89)</f>
        <v>38435049.254000008</v>
      </c>
      <c r="F157" s="143">
        <f t="shared" si="76"/>
        <v>40181922.242594294</v>
      </c>
      <c r="G157" s="143">
        <f t="shared" si="76"/>
        <v>42008190.608520202</v>
      </c>
      <c r="H157" s="143">
        <f t="shared" si="76"/>
        <v>43917462.871677443</v>
      </c>
    </row>
    <row r="158" spans="1:8">
      <c r="A158" s="95">
        <v>4</v>
      </c>
      <c r="B158" s="317" t="s">
        <v>490</v>
      </c>
      <c r="C158" s="317"/>
      <c r="D158" s="143">
        <f>D90*$D$147</f>
        <v>1598440</v>
      </c>
      <c r="E158" s="143">
        <f t="shared" ref="E158:H158" si="77">E90*$D$147</f>
        <v>1671089.0980000002</v>
      </c>
      <c r="F158" s="143">
        <f t="shared" si="77"/>
        <v>1747040.0975040998</v>
      </c>
      <c r="G158" s="143">
        <f t="shared" si="77"/>
        <v>1826443.0699356613</v>
      </c>
      <c r="H158" s="143">
        <f t="shared" si="77"/>
        <v>1909454.907464237</v>
      </c>
    </row>
    <row r="159" spans="1:8">
      <c r="A159" s="95">
        <v>5</v>
      </c>
      <c r="B159" s="317" t="s">
        <v>252</v>
      </c>
      <c r="C159" s="317"/>
      <c r="D159" s="143">
        <f>$D$148*D91</f>
        <v>209795.25</v>
      </c>
      <c r="E159" s="143">
        <f t="shared" ref="E159:H159" si="78">$D$148*E91</f>
        <v>219330.44411250003</v>
      </c>
      <c r="F159" s="143">
        <f t="shared" si="78"/>
        <v>229299.01279741307</v>
      </c>
      <c r="G159" s="143">
        <f t="shared" si="78"/>
        <v>239720.6529290555</v>
      </c>
      <c r="H159" s="143">
        <f t="shared" si="78"/>
        <v>250615.95660468107</v>
      </c>
    </row>
    <row r="160" spans="1:8">
      <c r="A160" s="176">
        <v>6</v>
      </c>
      <c r="B160" s="332" t="s">
        <v>258</v>
      </c>
      <c r="C160" s="333"/>
      <c r="D160" s="143">
        <f>$D$149*D91</f>
        <v>209795.25</v>
      </c>
      <c r="E160" s="143">
        <f t="shared" ref="E160:H160" si="79">$D$149*E91</f>
        <v>219330.44411250003</v>
      </c>
      <c r="F160" s="143">
        <f t="shared" si="79"/>
        <v>229299.01279741307</v>
      </c>
      <c r="G160" s="143">
        <f t="shared" si="79"/>
        <v>239720.6529290555</v>
      </c>
      <c r="H160" s="143">
        <f t="shared" si="79"/>
        <v>250615.95660468107</v>
      </c>
    </row>
    <row r="161" spans="1:8">
      <c r="A161" s="95"/>
      <c r="B161" s="316" t="s">
        <v>259</v>
      </c>
      <c r="C161" s="316"/>
      <c r="D161" s="167">
        <f>SUM(D155:D160)</f>
        <v>39997510.5</v>
      </c>
      <c r="E161" s="28">
        <f>SUM(E155:E160)</f>
        <v>41796620.040225007</v>
      </c>
      <c r="F161" s="28">
        <f>SUM(F155:F160)</f>
        <v>43672317.428893223</v>
      </c>
      <c r="G161" s="28">
        <f>SUM(G155:G160)</f>
        <v>45633799.340093672</v>
      </c>
      <c r="H161" s="28">
        <f>SUM(H155:H160)</f>
        <v>47685031.005617447</v>
      </c>
    </row>
    <row r="162" spans="1:8">
      <c r="A162" s="96"/>
      <c r="B162" s="89"/>
      <c r="C162" s="89"/>
      <c r="D162" s="96"/>
    </row>
    <row r="163" spans="1:8">
      <c r="A163" s="104"/>
      <c r="B163" s="233"/>
      <c r="C163" s="233"/>
      <c r="D163" s="156"/>
      <c r="E163" s="157"/>
      <c r="F163" s="157"/>
      <c r="G163" s="82" t="s">
        <v>60</v>
      </c>
      <c r="H163" s="30" t="s">
        <v>61</v>
      </c>
    </row>
    <row r="164" spans="1:8">
      <c r="A164" s="319" t="s">
        <v>1</v>
      </c>
      <c r="B164" s="316" t="s">
        <v>90</v>
      </c>
      <c r="C164" s="316"/>
      <c r="D164" s="163" t="s">
        <v>50</v>
      </c>
      <c r="E164" s="164" t="s">
        <v>51</v>
      </c>
      <c r="F164" s="163" t="s">
        <v>52</v>
      </c>
      <c r="G164" s="164" t="s">
        <v>53</v>
      </c>
      <c r="H164" s="163" t="s">
        <v>54</v>
      </c>
    </row>
    <row r="165" spans="1:8">
      <c r="A165" s="319"/>
      <c r="B165" s="316" t="s">
        <v>94</v>
      </c>
      <c r="C165" s="316"/>
      <c r="D165" s="165">
        <v>6</v>
      </c>
      <c r="E165" s="166">
        <v>7</v>
      </c>
      <c r="F165" s="165">
        <v>8</v>
      </c>
      <c r="G165" s="166">
        <v>9</v>
      </c>
      <c r="H165" s="165">
        <v>10</v>
      </c>
    </row>
    <row r="166" spans="1:8">
      <c r="A166" s="176">
        <v>1</v>
      </c>
      <c r="B166" s="317" t="s">
        <v>250</v>
      </c>
      <c r="C166" s="317"/>
      <c r="D166" s="143">
        <f>D137</f>
        <v>1203223.6141801097</v>
      </c>
      <c r="E166" s="143">
        <f t="shared" ref="E166:H166" si="80">E137</f>
        <v>1242667.4620876752</v>
      </c>
      <c r="F166" s="143">
        <f t="shared" si="80"/>
        <v>1283404.3507230154</v>
      </c>
      <c r="G166" s="143">
        <f t="shared" si="80"/>
        <v>1325476.6683015905</v>
      </c>
      <c r="H166" s="143">
        <f t="shared" si="80"/>
        <v>1368928.1926012861</v>
      </c>
    </row>
    <row r="167" spans="1:8">
      <c r="A167" s="176">
        <v>2</v>
      </c>
      <c r="B167" s="317" t="s">
        <v>251</v>
      </c>
      <c r="C167" s="317"/>
      <c r="D167" s="143">
        <f>D138</f>
        <v>198138.72449034287</v>
      </c>
      <c r="E167" s="143">
        <f t="shared" ref="E167:H167" si="81">E138</f>
        <v>204634.07051022761</v>
      </c>
      <c r="F167" s="143">
        <f t="shared" si="81"/>
        <v>211342.34572922048</v>
      </c>
      <c r="G167" s="143">
        <f t="shared" si="81"/>
        <v>218270.53035187008</v>
      </c>
      <c r="H167" s="143">
        <f t="shared" si="81"/>
        <v>225425.83340646431</v>
      </c>
    </row>
    <row r="168" spans="1:8">
      <c r="A168" s="176">
        <v>3</v>
      </c>
      <c r="B168" s="317" t="s">
        <v>267</v>
      </c>
      <c r="C168" s="317"/>
      <c r="D168" s="143">
        <f>$D$146*SUM(D94:D98)</f>
        <v>45913511.559195183</v>
      </c>
      <c r="E168" s="143">
        <f t="shared" ref="E168:H168" si="82">$D$146*SUM(E94:E98)</f>
        <v>48000280.659560598</v>
      </c>
      <c r="F168" s="143">
        <f t="shared" si="82"/>
        <v>50181893.415537626</v>
      </c>
      <c r="G168" s="143">
        <f t="shared" si="82"/>
        <v>52462660.47127381</v>
      </c>
      <c r="H168" s="143">
        <f t="shared" si="82"/>
        <v>54847088.389693193</v>
      </c>
    </row>
    <row r="169" spans="1:8">
      <c r="A169" s="176">
        <v>4</v>
      </c>
      <c r="B169" s="317" t="s">
        <v>490</v>
      </c>
      <c r="C169" s="317"/>
      <c r="D169" s="143">
        <f>D99*$D$147</f>
        <v>1996239.6330084861</v>
      </c>
      <c r="E169" s="143">
        <f t="shared" ref="E169:H169" si="83">E99*$D$147</f>
        <v>2086968.7243287219</v>
      </c>
      <c r="F169" s="143">
        <f t="shared" si="83"/>
        <v>2181821.4528494622</v>
      </c>
      <c r="G169" s="143">
        <f t="shared" si="83"/>
        <v>2280985.23788147</v>
      </c>
      <c r="H169" s="143">
        <f t="shared" si="83"/>
        <v>2384656.0169431823</v>
      </c>
    </row>
    <row r="170" spans="1:8">
      <c r="A170" s="176">
        <v>5</v>
      </c>
      <c r="B170" s="317" t="s">
        <v>252</v>
      </c>
      <c r="C170" s="317"/>
      <c r="D170" s="143">
        <f>$D$148*D100</f>
        <v>262006.45183236379</v>
      </c>
      <c r="E170" s="143">
        <f t="shared" ref="E170:H170" si="84">$D$148*E100</f>
        <v>273914.64506814472</v>
      </c>
      <c r="F170" s="143">
        <f t="shared" si="84"/>
        <v>286364.06568649184</v>
      </c>
      <c r="G170" s="143">
        <f t="shared" si="84"/>
        <v>299379.31247194292</v>
      </c>
      <c r="H170" s="143">
        <f t="shared" si="84"/>
        <v>312986.1022237927</v>
      </c>
    </row>
    <row r="171" spans="1:8">
      <c r="A171" s="176">
        <v>6</v>
      </c>
      <c r="B171" s="317" t="s">
        <v>258</v>
      </c>
      <c r="C171" s="317"/>
      <c r="D171" s="143">
        <f>$D$149*D100</f>
        <v>262006.45183236379</v>
      </c>
      <c r="E171" s="143">
        <f t="shared" ref="E171:H171" si="85">$D$149*E100</f>
        <v>273914.64506814472</v>
      </c>
      <c r="F171" s="143">
        <f t="shared" si="85"/>
        <v>286364.06568649184</v>
      </c>
      <c r="G171" s="143">
        <f t="shared" si="85"/>
        <v>299379.31247194292</v>
      </c>
      <c r="H171" s="143">
        <f t="shared" si="85"/>
        <v>312986.1022237927</v>
      </c>
    </row>
    <row r="172" spans="1:8">
      <c r="A172" s="176"/>
      <c r="B172" s="316" t="s">
        <v>259</v>
      </c>
      <c r="C172" s="316"/>
      <c r="D172" s="167">
        <f>SUM(D166:D171)</f>
        <v>49835126.434538849</v>
      </c>
      <c r="E172" s="28">
        <f>SUM(E166:E171)</f>
        <v>52082380.20662351</v>
      </c>
      <c r="F172" s="28">
        <f>SUM(F166:F171)</f>
        <v>54431189.696212314</v>
      </c>
      <c r="G172" s="28">
        <f>SUM(G166:G171)</f>
        <v>56886151.532752618</v>
      </c>
      <c r="H172" s="28">
        <f>SUM(H166:H171)</f>
        <v>59452070.637091704</v>
      </c>
    </row>
    <row r="173" spans="1:8">
      <c r="A173" s="222"/>
      <c r="B173" s="220"/>
      <c r="C173" s="220"/>
      <c r="D173" s="222"/>
    </row>
    <row r="174" spans="1:8">
      <c r="A174" s="319" t="s">
        <v>1</v>
      </c>
      <c r="B174" s="316" t="s">
        <v>90</v>
      </c>
      <c r="C174" s="316"/>
      <c r="D174" s="163" t="s">
        <v>55</v>
      </c>
      <c r="E174" s="164" t="s">
        <v>56</v>
      </c>
      <c r="F174" s="163" t="s">
        <v>57</v>
      </c>
      <c r="G174" s="164" t="s">
        <v>58</v>
      </c>
      <c r="H174" s="163" t="s">
        <v>59</v>
      </c>
    </row>
    <row r="175" spans="1:8">
      <c r="A175" s="319"/>
      <c r="B175" s="316" t="s">
        <v>94</v>
      </c>
      <c r="C175" s="316"/>
      <c r="D175" s="165">
        <v>11</v>
      </c>
      <c r="E175" s="166">
        <v>12</v>
      </c>
      <c r="F175" s="165">
        <v>13</v>
      </c>
      <c r="G175" s="166">
        <v>14</v>
      </c>
      <c r="H175" s="165">
        <v>15</v>
      </c>
    </row>
    <row r="176" spans="1:8">
      <c r="A176" s="176">
        <v>1</v>
      </c>
      <c r="B176" s="317" t="s">
        <v>250</v>
      </c>
      <c r="C176" s="317"/>
      <c r="D176" s="143">
        <f>D142</f>
        <v>1413804.1365147848</v>
      </c>
      <c r="E176" s="143">
        <f t="shared" ref="E176:H176" si="86">E142</f>
        <v>1460151.1950952264</v>
      </c>
      <c r="F176" s="143">
        <f t="shared" si="86"/>
        <v>1508017.5941441108</v>
      </c>
      <c r="G176" s="143">
        <f t="shared" si="86"/>
        <v>1557453.1403920001</v>
      </c>
      <c r="H176" s="143">
        <f t="shared" si="86"/>
        <v>1608509.2733242337</v>
      </c>
    </row>
    <row r="177" spans="1:15">
      <c r="A177" s="176">
        <v>2</v>
      </c>
      <c r="B177" s="317" t="s">
        <v>251</v>
      </c>
      <c r="C177" s="317"/>
      <c r="D177" s="143">
        <f>D143</f>
        <v>232815.70024628667</v>
      </c>
      <c r="E177" s="143">
        <f t="shared" ref="E177:H177" si="87">E143</f>
        <v>240447.82029677735</v>
      </c>
      <c r="F177" s="143">
        <f t="shared" si="87"/>
        <v>248330.13505666042</v>
      </c>
      <c r="G177" s="143">
        <f t="shared" si="87"/>
        <v>256470.84636136217</v>
      </c>
      <c r="H177" s="143">
        <f t="shared" si="87"/>
        <v>264878.4249173195</v>
      </c>
    </row>
    <row r="178" spans="1:15">
      <c r="A178" s="176">
        <v>3</v>
      </c>
      <c r="B178" s="317" t="s">
        <v>267</v>
      </c>
      <c r="C178" s="317"/>
      <c r="D178" s="143">
        <f>$D$146*SUM(D103:D107)</f>
        <v>57339888.55700475</v>
      </c>
      <c r="E178" s="143">
        <f t="shared" ref="E178:H178" si="88">$D$146*SUM(E103:E107)</f>
        <v>59945986.491920613</v>
      </c>
      <c r="F178" s="143">
        <f t="shared" si="88"/>
        <v>62670531.577978402</v>
      </c>
      <c r="G178" s="143">
        <f t="shared" si="88"/>
        <v>65518907.238197513</v>
      </c>
      <c r="H178" s="143">
        <f t="shared" si="88"/>
        <v>68496741.572173581</v>
      </c>
    </row>
    <row r="179" spans="1:15">
      <c r="A179" s="176">
        <v>4</v>
      </c>
      <c r="B179" s="317" t="s">
        <v>490</v>
      </c>
      <c r="C179" s="317"/>
      <c r="D179" s="143">
        <f>D108*$D$147</f>
        <v>2493038.63291325</v>
      </c>
      <c r="E179" s="143">
        <f t="shared" ref="E179:H179" si="89">E108*$D$147</f>
        <v>2606347.2387791574</v>
      </c>
      <c r="F179" s="143">
        <f t="shared" si="89"/>
        <v>2724805.72078167</v>
      </c>
      <c r="G179" s="143">
        <f t="shared" si="89"/>
        <v>2848648.1407911964</v>
      </c>
      <c r="H179" s="143">
        <f t="shared" si="89"/>
        <v>2978119.1987901558</v>
      </c>
    </row>
    <row r="180" spans="1:15">
      <c r="A180" s="176">
        <v>5</v>
      </c>
      <c r="B180" s="317" t="s">
        <v>252</v>
      </c>
      <c r="C180" s="317"/>
      <c r="D180" s="143">
        <f>$D$148*D109</f>
        <v>327211.32056986401</v>
      </c>
      <c r="E180" s="143">
        <f t="shared" ref="E180:H180" si="90">$D$148*E109</f>
        <v>342083.07508976432</v>
      </c>
      <c r="F180" s="143">
        <f t="shared" si="90"/>
        <v>357630.75085259415</v>
      </c>
      <c r="G180" s="143">
        <f t="shared" si="90"/>
        <v>373885.06847884454</v>
      </c>
      <c r="H180" s="143">
        <f t="shared" si="90"/>
        <v>390878.14484120795</v>
      </c>
    </row>
    <row r="181" spans="1:15">
      <c r="A181" s="176">
        <v>6</v>
      </c>
      <c r="B181" s="317" t="s">
        <v>258</v>
      </c>
      <c r="C181" s="317"/>
      <c r="D181" s="143">
        <f>$D$149*D109</f>
        <v>327211.32056986401</v>
      </c>
      <c r="E181" s="143">
        <f t="shared" ref="E181:H181" si="91">$D$149*E109</f>
        <v>342083.07508976432</v>
      </c>
      <c r="F181" s="143">
        <f t="shared" si="91"/>
        <v>357630.75085259415</v>
      </c>
      <c r="G181" s="143">
        <f t="shared" si="91"/>
        <v>373885.06847884454</v>
      </c>
      <c r="H181" s="143">
        <f t="shared" si="91"/>
        <v>390878.14484120795</v>
      </c>
    </row>
    <row r="182" spans="1:15">
      <c r="A182" s="176"/>
      <c r="B182" s="316" t="s">
        <v>259</v>
      </c>
      <c r="C182" s="316"/>
      <c r="D182" s="167">
        <f>SUM(D176:D181)</f>
        <v>62133969.6678188</v>
      </c>
      <c r="E182" s="28">
        <f>SUM(E176:E181)</f>
        <v>64937098.896271311</v>
      </c>
      <c r="F182" s="28">
        <f>SUM(F176:F181)</f>
        <v>67866946.529666051</v>
      </c>
      <c r="G182" s="28">
        <f>SUM(G176:G181)</f>
        <v>70929249.502699748</v>
      </c>
      <c r="H182" s="28">
        <f>SUM(H176:H181)</f>
        <v>74130004.758887708</v>
      </c>
    </row>
    <row r="183" spans="1:15">
      <c r="A183" s="222"/>
      <c r="B183" s="220"/>
      <c r="C183" s="220"/>
      <c r="D183" s="222"/>
    </row>
    <row r="184" spans="1:15">
      <c r="A184" s="9" t="s">
        <v>98</v>
      </c>
    </row>
    <row r="185" spans="1:15" ht="66.75" customHeight="1">
      <c r="A185" s="318" t="s">
        <v>504</v>
      </c>
      <c r="B185" s="318"/>
      <c r="C185" s="318"/>
      <c r="D185" s="318"/>
      <c r="E185" s="318"/>
      <c r="F185" s="318"/>
      <c r="G185" s="318"/>
      <c r="H185" s="318"/>
    </row>
    <row r="186" spans="1:15" s="258" customFormat="1" ht="18" customHeight="1">
      <c r="A186" s="342" t="s">
        <v>426</v>
      </c>
      <c r="B186" s="342"/>
      <c r="C186" s="342"/>
      <c r="D186" s="342"/>
      <c r="E186" s="342"/>
      <c r="F186" s="342"/>
      <c r="G186" s="342"/>
      <c r="H186" s="342"/>
      <c r="I186" s="330"/>
      <c r="J186" s="330"/>
      <c r="K186" s="330"/>
      <c r="L186" s="330"/>
      <c r="M186" s="330"/>
      <c r="N186" s="330"/>
      <c r="O186" s="330"/>
    </row>
    <row r="187" spans="1:15" ht="18" customHeight="1">
      <c r="A187" s="67" t="s">
        <v>99</v>
      </c>
    </row>
    <row r="188" spans="1:15" ht="18" customHeight="1">
      <c r="G188" s="29" t="s">
        <v>60</v>
      </c>
      <c r="H188" s="30" t="s">
        <v>61</v>
      </c>
    </row>
    <row r="189" spans="1:15" ht="50.1" customHeight="1">
      <c r="A189" s="174" t="s">
        <v>1</v>
      </c>
      <c r="B189" s="174" t="s">
        <v>100</v>
      </c>
      <c r="C189" s="174" t="s">
        <v>106</v>
      </c>
      <c r="D189" s="174" t="s">
        <v>95</v>
      </c>
      <c r="E189" s="174" t="s">
        <v>101</v>
      </c>
      <c r="F189" s="172" t="s">
        <v>33</v>
      </c>
      <c r="G189" s="172" t="s">
        <v>34</v>
      </c>
      <c r="H189" s="172" t="s">
        <v>35</v>
      </c>
    </row>
    <row r="190" spans="1:15" ht="17.100000000000001" customHeight="1">
      <c r="A190" s="170" t="s">
        <v>38</v>
      </c>
      <c r="B190" s="170" t="s">
        <v>39</v>
      </c>
      <c r="C190" s="170" t="s">
        <v>40</v>
      </c>
      <c r="D190" s="170" t="s">
        <v>105</v>
      </c>
      <c r="E190" s="170" t="s">
        <v>425</v>
      </c>
      <c r="F190" s="40">
        <v>1</v>
      </c>
      <c r="G190" s="40">
        <v>2</v>
      </c>
      <c r="H190" s="40">
        <v>3</v>
      </c>
      <c r="K190" s="1" t="s">
        <v>498</v>
      </c>
    </row>
    <row r="191" spans="1:15" ht="17.100000000000001" customHeight="1">
      <c r="A191" s="45">
        <v>1</v>
      </c>
      <c r="B191" s="71" t="s">
        <v>174</v>
      </c>
      <c r="C191" s="175">
        <v>10</v>
      </c>
      <c r="D191" s="241">
        <f>(K191+K192)/1000</f>
        <v>2021963.6363636362</v>
      </c>
      <c r="E191" s="253">
        <f>1/C191</f>
        <v>0.1</v>
      </c>
      <c r="F191" s="47">
        <f>D191*E191</f>
        <v>202196.36363636365</v>
      </c>
      <c r="G191" s="48">
        <f>F191</f>
        <v>202196.36363636365</v>
      </c>
      <c r="H191" s="48">
        <f>G191</f>
        <v>202196.36363636365</v>
      </c>
      <c r="I191" s="10"/>
      <c r="J191" s="237" t="s">
        <v>427</v>
      </c>
      <c r="K191" s="138">
        <f>1308000000/1.1</f>
        <v>1189090909.090909</v>
      </c>
    </row>
    <row r="192" spans="1:15" ht="17.100000000000001" customHeight="1">
      <c r="A192" s="45">
        <v>2</v>
      </c>
      <c r="B192" s="71" t="s">
        <v>173</v>
      </c>
      <c r="C192" s="175">
        <v>6</v>
      </c>
      <c r="D192" s="241">
        <f>2354000/1.1</f>
        <v>2140000</v>
      </c>
      <c r="E192" s="110">
        <f t="shared" ref="E192:E194" si="92">1/C192</f>
        <v>0.16666666666666666</v>
      </c>
      <c r="F192" s="47">
        <f>D192*E192</f>
        <v>356666.66666666663</v>
      </c>
      <c r="G192" s="48">
        <f>F192</f>
        <v>356666.66666666663</v>
      </c>
      <c r="H192" s="48">
        <f>G192</f>
        <v>356666.66666666663</v>
      </c>
      <c r="I192" s="10"/>
      <c r="J192" s="237" t="s">
        <v>428</v>
      </c>
      <c r="K192" s="138">
        <f>916160000/1.1</f>
        <v>832872727.27272725</v>
      </c>
    </row>
    <row r="193" spans="1:11" ht="17.100000000000001" customHeight="1">
      <c r="A193" s="176">
        <v>3</v>
      </c>
      <c r="B193" s="171" t="s">
        <v>435</v>
      </c>
      <c r="C193" s="175">
        <v>10</v>
      </c>
      <c r="D193" s="153">
        <f>K193/1000</f>
        <v>1072363.6363636362</v>
      </c>
      <c r="E193" s="253">
        <f t="shared" si="92"/>
        <v>0.1</v>
      </c>
      <c r="F193" s="47">
        <f t="shared" ref="F193:F194" si="93">D193*E193</f>
        <v>107236.36363636363</v>
      </c>
      <c r="G193" s="48">
        <f t="shared" ref="G193:H193" si="94">F193</f>
        <v>107236.36363636363</v>
      </c>
      <c r="H193" s="48">
        <f t="shared" si="94"/>
        <v>107236.36363636363</v>
      </c>
      <c r="I193" s="10"/>
      <c r="J193" s="237" t="s">
        <v>429</v>
      </c>
      <c r="K193" s="138">
        <f>1179600000/1.1</f>
        <v>1072363636.3636363</v>
      </c>
    </row>
    <row r="194" spans="1:11" ht="17.100000000000001" customHeight="1">
      <c r="A194" s="176">
        <v>4</v>
      </c>
      <c r="B194" s="171" t="s">
        <v>434</v>
      </c>
      <c r="C194" s="175">
        <v>6</v>
      </c>
      <c r="D194" s="153">
        <f>SUM(K194:K199)/1000</f>
        <v>555136.36363636365</v>
      </c>
      <c r="E194" s="110">
        <f t="shared" si="92"/>
        <v>0.16666666666666666</v>
      </c>
      <c r="F194" s="47">
        <f t="shared" si="93"/>
        <v>92522.727272727265</v>
      </c>
      <c r="G194" s="48">
        <f t="shared" ref="G194:H194" si="95">F194</f>
        <v>92522.727272727265</v>
      </c>
      <c r="H194" s="48">
        <f t="shared" si="95"/>
        <v>92522.727272727265</v>
      </c>
      <c r="I194" s="10"/>
      <c r="J194" s="237" t="s">
        <v>430</v>
      </c>
      <c r="K194" s="138">
        <f>125000000/1.1</f>
        <v>113636363.63636363</v>
      </c>
    </row>
    <row r="195" spans="1:11" ht="17.100000000000001" customHeight="1">
      <c r="A195" s="45"/>
      <c r="B195" s="40" t="s">
        <v>103</v>
      </c>
      <c r="C195" s="242"/>
      <c r="D195" s="243">
        <f>SUM(D191:D194)</f>
        <v>5789463.6363636358</v>
      </c>
      <c r="E195" s="15"/>
      <c r="F195" s="49">
        <f>SUM(F191:F194)</f>
        <v>758622.12121212122</v>
      </c>
      <c r="G195" s="49">
        <f t="shared" ref="G195:H195" si="96">SUM(G191:G194)</f>
        <v>758622.12121212122</v>
      </c>
      <c r="H195" s="49">
        <f t="shared" si="96"/>
        <v>758622.12121212122</v>
      </c>
      <c r="I195" s="10"/>
      <c r="J195" s="237" t="s">
        <v>431</v>
      </c>
      <c r="K195" s="138">
        <f>160000000/1.1</f>
        <v>145454545.45454544</v>
      </c>
    </row>
    <row r="196" spans="1:11" ht="17.100000000000001" customHeight="1">
      <c r="A196" s="45"/>
      <c r="B196" s="40" t="s">
        <v>104</v>
      </c>
      <c r="C196" s="315"/>
      <c r="D196" s="315"/>
      <c r="E196" s="15"/>
      <c r="F196" s="49">
        <f>D195-F195</f>
        <v>5030841.5151515147</v>
      </c>
      <c r="G196" s="49">
        <f>F196-G195</f>
        <v>4272219.3939393936</v>
      </c>
      <c r="H196" s="49">
        <f>G196-H195</f>
        <v>3513597.2727272725</v>
      </c>
      <c r="J196" s="237" t="s">
        <v>432</v>
      </c>
      <c r="K196" s="138">
        <f>50000000/1.1</f>
        <v>45454545.454545453</v>
      </c>
    </row>
    <row r="197" spans="1:11" ht="20.100000000000001" customHeight="1">
      <c r="J197" s="237" t="s">
        <v>433</v>
      </c>
      <c r="K197" s="138">
        <f>198000000/1.1</f>
        <v>180000000</v>
      </c>
    </row>
    <row r="198" spans="1:11" s="251" customFormat="1" ht="50.1" customHeight="1">
      <c r="A198" s="174" t="s">
        <v>1</v>
      </c>
      <c r="B198" s="174" t="s">
        <v>100</v>
      </c>
      <c r="C198" s="174" t="s">
        <v>106</v>
      </c>
      <c r="D198" s="174" t="s">
        <v>95</v>
      </c>
      <c r="E198" s="172" t="s">
        <v>101</v>
      </c>
      <c r="F198" s="172" t="s">
        <v>36</v>
      </c>
      <c r="G198" s="172" t="s">
        <v>37</v>
      </c>
      <c r="H198" s="172" t="s">
        <v>50</v>
      </c>
      <c r="J198" s="254" t="s">
        <v>415</v>
      </c>
      <c r="K198" s="255">
        <f>25000000/1.1</f>
        <v>22727272.727272727</v>
      </c>
    </row>
    <row r="199" spans="1:11" ht="17.100000000000001" customHeight="1">
      <c r="A199" s="170" t="s">
        <v>38</v>
      </c>
      <c r="B199" s="170" t="s">
        <v>39</v>
      </c>
      <c r="C199" s="170" t="s">
        <v>40</v>
      </c>
      <c r="D199" s="170" t="s">
        <v>105</v>
      </c>
      <c r="E199" s="170" t="s">
        <v>425</v>
      </c>
      <c r="F199" s="40">
        <v>4</v>
      </c>
      <c r="G199" s="40">
        <v>5</v>
      </c>
      <c r="H199" s="40">
        <v>6</v>
      </c>
      <c r="J199" s="237" t="s">
        <v>413</v>
      </c>
      <c r="K199" s="138">
        <f>52650000/1.1</f>
        <v>47863636.36363636</v>
      </c>
    </row>
    <row r="200" spans="1:11" ht="17.100000000000001" customHeight="1">
      <c r="A200" s="45">
        <v>1</v>
      </c>
      <c r="B200" s="41" t="str">
        <f>B191</f>
        <v>Cửa hàng xăng dầu</v>
      </c>
      <c r="C200" s="175">
        <f>C191</f>
        <v>10</v>
      </c>
      <c r="D200" s="241">
        <f>D191</f>
        <v>2021963.6363636362</v>
      </c>
      <c r="E200" s="253">
        <f>E191</f>
        <v>0.1</v>
      </c>
      <c r="F200" s="47">
        <f>E200*D200</f>
        <v>202196.36363636365</v>
      </c>
      <c r="G200" s="48">
        <f>F200</f>
        <v>202196.36363636365</v>
      </c>
      <c r="H200" s="48">
        <f>G200</f>
        <v>202196.36363636365</v>
      </c>
    </row>
    <row r="201" spans="1:11" ht="17.100000000000001" customHeight="1">
      <c r="A201" s="45">
        <v>2</v>
      </c>
      <c r="B201" s="171" t="str">
        <f t="shared" ref="B201:B203" si="97">B192</f>
        <v>Thiết bị</v>
      </c>
      <c r="C201" s="175">
        <f t="shared" ref="C201:E201" si="98">C192</f>
        <v>6</v>
      </c>
      <c r="D201" s="241">
        <f t="shared" si="98"/>
        <v>2140000</v>
      </c>
      <c r="E201" s="110">
        <f t="shared" si="98"/>
        <v>0.16666666666666666</v>
      </c>
      <c r="F201" s="47">
        <f t="shared" ref="F201:F203" si="99">E201*D201</f>
        <v>356666.66666666663</v>
      </c>
      <c r="G201" s="48">
        <f t="shared" ref="G201:H201" si="100">F201</f>
        <v>356666.66666666663</v>
      </c>
      <c r="H201" s="48">
        <f t="shared" si="100"/>
        <v>356666.66666666663</v>
      </c>
    </row>
    <row r="202" spans="1:11" ht="17.100000000000001" customHeight="1">
      <c r="A202" s="176">
        <v>3</v>
      </c>
      <c r="B202" s="171" t="str">
        <f t="shared" si="97"/>
        <v>Đường giao thông, sân bãi</v>
      </c>
      <c r="C202" s="175">
        <f t="shared" ref="C202:E202" si="101">C193</f>
        <v>10</v>
      </c>
      <c r="D202" s="241">
        <f t="shared" si="101"/>
        <v>1072363.6363636362</v>
      </c>
      <c r="E202" s="253">
        <f t="shared" si="101"/>
        <v>0.1</v>
      </c>
      <c r="F202" s="47">
        <f t="shared" si="99"/>
        <v>107236.36363636363</v>
      </c>
      <c r="G202" s="48">
        <f t="shared" ref="G202:H202" si="102">F202</f>
        <v>107236.36363636363</v>
      </c>
      <c r="H202" s="48">
        <f t="shared" si="102"/>
        <v>107236.36363636363</v>
      </c>
    </row>
    <row r="203" spans="1:11" ht="17.100000000000001" customHeight="1">
      <c r="A203" s="176">
        <v>4</v>
      </c>
      <c r="B203" s="171" t="str">
        <f t="shared" si="97"/>
        <v>Phụ trợ</v>
      </c>
      <c r="C203" s="175">
        <f t="shared" ref="C203:E203" si="103">C194</f>
        <v>6</v>
      </c>
      <c r="D203" s="241">
        <f t="shared" si="103"/>
        <v>555136.36363636365</v>
      </c>
      <c r="E203" s="110">
        <f t="shared" si="103"/>
        <v>0.16666666666666666</v>
      </c>
      <c r="F203" s="47">
        <f t="shared" si="99"/>
        <v>92522.727272727265</v>
      </c>
      <c r="G203" s="48">
        <f t="shared" ref="G203:H203" si="104">F203</f>
        <v>92522.727272727265</v>
      </c>
      <c r="H203" s="48">
        <f t="shared" si="104"/>
        <v>92522.727272727265</v>
      </c>
    </row>
    <row r="204" spans="1:11" ht="17.100000000000001" customHeight="1">
      <c r="A204" s="45"/>
      <c r="B204" s="40" t="s">
        <v>103</v>
      </c>
      <c r="C204" s="242"/>
      <c r="D204" s="243">
        <f>SUM(D200:D203)</f>
        <v>5789463.6363636358</v>
      </c>
      <c r="E204" s="15"/>
      <c r="F204" s="49">
        <f>SUM(F200:F203)</f>
        <v>758622.12121212122</v>
      </c>
      <c r="G204" s="49">
        <f t="shared" ref="G204:H204" si="105">SUM(G200:G203)</f>
        <v>758622.12121212122</v>
      </c>
      <c r="H204" s="49">
        <f t="shared" si="105"/>
        <v>758622.12121212122</v>
      </c>
      <c r="I204" s="374"/>
    </row>
    <row r="205" spans="1:11" ht="17.100000000000001" customHeight="1">
      <c r="A205" s="45"/>
      <c r="B205" s="40" t="s">
        <v>104</v>
      </c>
      <c r="C205" s="315"/>
      <c r="D205" s="315"/>
      <c r="E205" s="15"/>
      <c r="F205" s="49">
        <f>H196-F204</f>
        <v>2754975.1515151514</v>
      </c>
      <c r="G205" s="49">
        <f>F205-G204</f>
        <v>1996353.0303030303</v>
      </c>
      <c r="H205" s="49">
        <f>G205-H204</f>
        <v>1237730.9090909092</v>
      </c>
    </row>
    <row r="206" spans="1:11" ht="20.100000000000001" customHeight="1"/>
    <row r="207" spans="1:11" s="251" customFormat="1" ht="50.1" customHeight="1">
      <c r="A207" s="172" t="s">
        <v>1</v>
      </c>
      <c r="B207" s="172" t="s">
        <v>100</v>
      </c>
      <c r="C207" s="174" t="s">
        <v>106</v>
      </c>
      <c r="D207" s="174" t="s">
        <v>95</v>
      </c>
      <c r="E207" s="172" t="s">
        <v>101</v>
      </c>
      <c r="F207" s="172" t="s">
        <v>51</v>
      </c>
      <c r="G207" s="172" t="s">
        <v>52</v>
      </c>
      <c r="H207" s="172" t="s">
        <v>53</v>
      </c>
    </row>
    <row r="208" spans="1:11" ht="17.100000000000001" customHeight="1">
      <c r="A208" s="40" t="s">
        <v>38</v>
      </c>
      <c r="B208" s="40" t="s">
        <v>39</v>
      </c>
      <c r="C208" s="170" t="s">
        <v>40</v>
      </c>
      <c r="D208" s="170" t="s">
        <v>105</v>
      </c>
      <c r="E208" s="170" t="s">
        <v>425</v>
      </c>
      <c r="F208" s="40">
        <v>7</v>
      </c>
      <c r="G208" s="40">
        <v>8</v>
      </c>
      <c r="H208" s="40">
        <v>9</v>
      </c>
    </row>
    <row r="209" spans="1:8" ht="17.100000000000001" customHeight="1">
      <c r="A209" s="176">
        <v>1</v>
      </c>
      <c r="B209" s="171" t="str">
        <f>B200</f>
        <v>Cửa hàng xăng dầu</v>
      </c>
      <c r="C209" s="175">
        <f>C200</f>
        <v>10</v>
      </c>
      <c r="D209" s="241">
        <f>D200</f>
        <v>2021963.6363636362</v>
      </c>
      <c r="E209" s="253">
        <f>E200</f>
        <v>0.1</v>
      </c>
      <c r="F209" s="47">
        <f>E209*D209</f>
        <v>202196.36363636365</v>
      </c>
      <c r="G209" s="48">
        <f>F209</f>
        <v>202196.36363636365</v>
      </c>
      <c r="H209" s="48">
        <f>G209</f>
        <v>202196.36363636365</v>
      </c>
    </row>
    <row r="210" spans="1:8" ht="17.100000000000001" customHeight="1">
      <c r="A210" s="176">
        <v>2</v>
      </c>
      <c r="B210" s="171" t="str">
        <f t="shared" ref="B210:E212" si="106">B201</f>
        <v>Thiết bị</v>
      </c>
      <c r="C210" s="175">
        <f t="shared" si="106"/>
        <v>6</v>
      </c>
      <c r="D210" s="241">
        <f t="shared" si="106"/>
        <v>2140000</v>
      </c>
      <c r="E210" s="110">
        <f t="shared" si="106"/>
        <v>0.16666666666666666</v>
      </c>
      <c r="F210" s="47">
        <v>0</v>
      </c>
      <c r="G210" s="48">
        <f t="shared" ref="G210" si="107">F210</f>
        <v>0</v>
      </c>
      <c r="H210" s="48">
        <v>0</v>
      </c>
    </row>
    <row r="211" spans="1:8" ht="17.100000000000001" customHeight="1">
      <c r="A211" s="176">
        <v>3</v>
      </c>
      <c r="B211" s="171" t="str">
        <f t="shared" si="106"/>
        <v>Đường giao thông, sân bãi</v>
      </c>
      <c r="C211" s="175">
        <f t="shared" si="106"/>
        <v>10</v>
      </c>
      <c r="D211" s="241">
        <f t="shared" si="106"/>
        <v>1072363.6363636362</v>
      </c>
      <c r="E211" s="253">
        <f t="shared" si="106"/>
        <v>0.1</v>
      </c>
      <c r="F211" s="47">
        <f t="shared" ref="F211" si="108">E211*D211</f>
        <v>107236.36363636363</v>
      </c>
      <c r="G211" s="48">
        <f t="shared" ref="G211:H211" si="109">F211</f>
        <v>107236.36363636363</v>
      </c>
      <c r="H211" s="48">
        <f t="shared" si="109"/>
        <v>107236.36363636363</v>
      </c>
    </row>
    <row r="212" spans="1:8" ht="17.100000000000001" customHeight="1">
      <c r="A212" s="176">
        <v>4</v>
      </c>
      <c r="B212" s="171" t="str">
        <f t="shared" si="106"/>
        <v>Phụ trợ</v>
      </c>
      <c r="C212" s="175">
        <f t="shared" si="106"/>
        <v>6</v>
      </c>
      <c r="D212" s="241">
        <f t="shared" si="106"/>
        <v>555136.36363636365</v>
      </c>
      <c r="E212" s="110">
        <f t="shared" si="106"/>
        <v>0.16666666666666666</v>
      </c>
      <c r="F212" s="47">
        <v>0</v>
      </c>
      <c r="G212" s="48">
        <f t="shared" ref="G212:H212" si="110">F212</f>
        <v>0</v>
      </c>
      <c r="H212" s="48">
        <f t="shared" si="110"/>
        <v>0</v>
      </c>
    </row>
    <row r="213" spans="1:8" ht="17.100000000000001" customHeight="1">
      <c r="A213" s="45"/>
      <c r="B213" s="40" t="s">
        <v>103</v>
      </c>
      <c r="C213" s="242"/>
      <c r="D213" s="243">
        <f>SUM(D209:D212)</f>
        <v>5789463.6363636358</v>
      </c>
      <c r="E213" s="15"/>
      <c r="F213" s="49">
        <f>SUM(F209:F212)</f>
        <v>309432.72727272729</v>
      </c>
      <c r="G213" s="49">
        <f t="shared" ref="G213" si="111">SUM(G209:G212)</f>
        <v>309432.72727272729</v>
      </c>
      <c r="H213" s="49">
        <f t="shared" ref="H213" si="112">SUM(H209:H212)</f>
        <v>309432.72727272729</v>
      </c>
    </row>
    <row r="214" spans="1:8" ht="17.100000000000001" customHeight="1">
      <c r="A214" s="45"/>
      <c r="B214" s="40" t="s">
        <v>104</v>
      </c>
      <c r="C214" s="315"/>
      <c r="D214" s="315"/>
      <c r="E214" s="15"/>
      <c r="F214" s="49">
        <f>H205-F213</f>
        <v>928298.18181818188</v>
      </c>
      <c r="G214" s="49">
        <f>F214-G213</f>
        <v>618865.45454545459</v>
      </c>
      <c r="H214" s="49">
        <f>G214-H213</f>
        <v>309432.72727272729</v>
      </c>
    </row>
    <row r="215" spans="1:8" ht="20.100000000000001" customHeight="1"/>
    <row r="216" spans="1:8" s="251" customFormat="1" ht="50.1" customHeight="1">
      <c r="A216" s="172" t="s">
        <v>1</v>
      </c>
      <c r="B216" s="172" t="s">
        <v>100</v>
      </c>
      <c r="C216" s="174" t="s">
        <v>106</v>
      </c>
      <c r="D216" s="174" t="s">
        <v>95</v>
      </c>
      <c r="E216" s="172" t="s">
        <v>101</v>
      </c>
      <c r="F216" s="172" t="s">
        <v>54</v>
      </c>
      <c r="G216" s="375"/>
      <c r="H216" s="376"/>
    </row>
    <row r="217" spans="1:8" ht="17.100000000000001" customHeight="1">
      <c r="A217" s="170" t="s">
        <v>38</v>
      </c>
      <c r="B217" s="170" t="s">
        <v>39</v>
      </c>
      <c r="C217" s="170" t="s">
        <v>40</v>
      </c>
      <c r="D217" s="170" t="s">
        <v>105</v>
      </c>
      <c r="E217" s="170" t="s">
        <v>425</v>
      </c>
      <c r="F217" s="40">
        <v>10</v>
      </c>
      <c r="G217" s="53"/>
      <c r="H217" s="290"/>
    </row>
    <row r="218" spans="1:8" ht="17.100000000000001" customHeight="1">
      <c r="A218" s="176">
        <v>1</v>
      </c>
      <c r="B218" s="171" t="str">
        <f>B209</f>
        <v>Cửa hàng xăng dầu</v>
      </c>
      <c r="C218" s="175">
        <f>C209</f>
        <v>10</v>
      </c>
      <c r="D218" s="241">
        <f>D209</f>
        <v>2021963.6363636362</v>
      </c>
      <c r="E218" s="253">
        <f>E209</f>
        <v>0.1</v>
      </c>
      <c r="F218" s="47">
        <f>E218*D218</f>
        <v>202196.36363636365</v>
      </c>
      <c r="G218" s="54"/>
      <c r="H218" s="51"/>
    </row>
    <row r="219" spans="1:8" ht="17.100000000000001" customHeight="1">
      <c r="A219" s="176">
        <v>2</v>
      </c>
      <c r="B219" s="171" t="str">
        <f t="shared" ref="B219:E219" si="113">B210</f>
        <v>Thiết bị</v>
      </c>
      <c r="C219" s="175">
        <f t="shared" si="113"/>
        <v>6</v>
      </c>
      <c r="D219" s="241">
        <f t="shared" si="113"/>
        <v>2140000</v>
      </c>
      <c r="E219" s="110">
        <f t="shared" si="113"/>
        <v>0.16666666666666666</v>
      </c>
      <c r="F219" s="47">
        <v>0</v>
      </c>
      <c r="G219" s="54"/>
      <c r="H219" s="51"/>
    </row>
    <row r="220" spans="1:8" ht="17.100000000000001" customHeight="1">
      <c r="A220" s="176">
        <v>3</v>
      </c>
      <c r="B220" s="171" t="str">
        <f t="shared" ref="B220:E220" si="114">B211</f>
        <v>Đường giao thông, sân bãi</v>
      </c>
      <c r="C220" s="175">
        <f t="shared" si="114"/>
        <v>10</v>
      </c>
      <c r="D220" s="241">
        <f t="shared" si="114"/>
        <v>1072363.6363636362</v>
      </c>
      <c r="E220" s="253">
        <f t="shared" si="114"/>
        <v>0.1</v>
      </c>
      <c r="F220" s="47">
        <f t="shared" ref="F220" si="115">E220*D220</f>
        <v>107236.36363636363</v>
      </c>
      <c r="G220" s="54"/>
      <c r="H220" s="51"/>
    </row>
    <row r="221" spans="1:8" ht="17.100000000000001" customHeight="1">
      <c r="A221" s="176">
        <v>4</v>
      </c>
      <c r="B221" s="171" t="str">
        <f t="shared" ref="B221:E221" si="116">B212</f>
        <v>Phụ trợ</v>
      </c>
      <c r="C221" s="175">
        <f t="shared" si="116"/>
        <v>6</v>
      </c>
      <c r="D221" s="241">
        <f t="shared" si="116"/>
        <v>555136.36363636365</v>
      </c>
      <c r="E221" s="110">
        <f t="shared" si="116"/>
        <v>0.16666666666666666</v>
      </c>
      <c r="F221" s="47">
        <v>0</v>
      </c>
      <c r="G221" s="54"/>
      <c r="H221" s="51"/>
    </row>
    <row r="222" spans="1:8" ht="17.100000000000001" customHeight="1">
      <c r="A222" s="176"/>
      <c r="B222" s="170" t="s">
        <v>103</v>
      </c>
      <c r="C222" s="242"/>
      <c r="D222" s="243">
        <f>SUM(D218:D221)</f>
        <v>5789463.6363636358</v>
      </c>
      <c r="E222" s="15"/>
      <c r="F222" s="49">
        <f>SUM(F218:F221)</f>
        <v>309432.72727272729</v>
      </c>
      <c r="G222" s="55"/>
      <c r="H222" s="52"/>
    </row>
    <row r="223" spans="1:8" ht="17.100000000000001" customHeight="1">
      <c r="A223" s="45"/>
      <c r="B223" s="40" t="s">
        <v>104</v>
      </c>
      <c r="C223" s="315"/>
      <c r="D223" s="315"/>
      <c r="E223" s="15"/>
      <c r="F223" s="49">
        <f>H214-F222</f>
        <v>0</v>
      </c>
      <c r="G223" s="55"/>
      <c r="H223" s="52"/>
    </row>
    <row r="224" spans="1:8" ht="20.100000000000001" customHeight="1"/>
    <row r="225" spans="1:8" s="251" customFormat="1" ht="50.1" hidden="1" customHeight="1">
      <c r="A225" s="172" t="s">
        <v>1</v>
      </c>
      <c r="B225" s="172" t="s">
        <v>100</v>
      </c>
      <c r="C225" s="174" t="s">
        <v>106</v>
      </c>
      <c r="D225" s="174" t="s">
        <v>95</v>
      </c>
      <c r="E225" s="172" t="s">
        <v>101</v>
      </c>
      <c r="F225" s="172" t="s">
        <v>57</v>
      </c>
      <c r="G225" s="172" t="s">
        <v>58</v>
      </c>
      <c r="H225" s="172" t="s">
        <v>59</v>
      </c>
    </row>
    <row r="226" spans="1:8" ht="17.100000000000001" hidden="1" customHeight="1">
      <c r="A226" s="170" t="s">
        <v>38</v>
      </c>
      <c r="B226" s="170" t="s">
        <v>39</v>
      </c>
      <c r="C226" s="170" t="s">
        <v>40</v>
      </c>
      <c r="D226" s="170" t="s">
        <v>105</v>
      </c>
      <c r="E226" s="170" t="s">
        <v>425</v>
      </c>
      <c r="F226" s="40">
        <v>13</v>
      </c>
      <c r="G226" s="40">
        <v>14</v>
      </c>
      <c r="H226" s="40">
        <v>15</v>
      </c>
    </row>
    <row r="227" spans="1:8" ht="17.100000000000001" hidden="1" customHeight="1">
      <c r="A227" s="176">
        <v>1</v>
      </c>
      <c r="B227" s="171" t="str">
        <f>B218</f>
        <v>Cửa hàng xăng dầu</v>
      </c>
      <c r="C227" s="175">
        <f>C218</f>
        <v>10</v>
      </c>
      <c r="D227" s="241">
        <f>D218</f>
        <v>2021963.6363636362</v>
      </c>
      <c r="E227" s="253">
        <f>E218</f>
        <v>0.1</v>
      </c>
      <c r="F227" s="47">
        <v>0</v>
      </c>
      <c r="G227" s="48">
        <f>F227</f>
        <v>0</v>
      </c>
      <c r="H227" s="48">
        <f>G227</f>
        <v>0</v>
      </c>
    </row>
    <row r="228" spans="1:8" ht="17.100000000000001" hidden="1" customHeight="1">
      <c r="A228" s="176">
        <v>2</v>
      </c>
      <c r="B228" s="171" t="str">
        <f t="shared" ref="B228:E228" si="117">B219</f>
        <v>Thiết bị</v>
      </c>
      <c r="C228" s="175">
        <f t="shared" si="117"/>
        <v>6</v>
      </c>
      <c r="D228" s="241">
        <f t="shared" si="117"/>
        <v>2140000</v>
      </c>
      <c r="E228" s="110">
        <f t="shared" si="117"/>
        <v>0.16666666666666666</v>
      </c>
      <c r="F228" s="47">
        <v>0</v>
      </c>
      <c r="G228" s="48">
        <f t="shared" ref="G228:H228" si="118">F228</f>
        <v>0</v>
      </c>
      <c r="H228" s="48">
        <f t="shared" si="118"/>
        <v>0</v>
      </c>
    </row>
    <row r="229" spans="1:8" ht="17.100000000000001" hidden="1" customHeight="1">
      <c r="A229" s="176">
        <v>3</v>
      </c>
      <c r="B229" s="171" t="str">
        <f t="shared" ref="B229:E229" si="119">B220</f>
        <v>Đường giao thông, sân bãi</v>
      </c>
      <c r="C229" s="175">
        <f t="shared" si="119"/>
        <v>10</v>
      </c>
      <c r="D229" s="241">
        <f t="shared" si="119"/>
        <v>1072363.6363636362</v>
      </c>
      <c r="E229" s="253">
        <f t="shared" si="119"/>
        <v>0.1</v>
      </c>
      <c r="F229" s="47">
        <v>0</v>
      </c>
      <c r="G229" s="48">
        <f t="shared" ref="G229:H230" si="120">F229</f>
        <v>0</v>
      </c>
      <c r="H229" s="48">
        <f t="shared" si="120"/>
        <v>0</v>
      </c>
    </row>
    <row r="230" spans="1:8" ht="17.100000000000001" hidden="1" customHeight="1">
      <c r="A230" s="176">
        <v>4</v>
      </c>
      <c r="B230" s="171" t="str">
        <f t="shared" ref="B230:E230" si="121">B221</f>
        <v>Phụ trợ</v>
      </c>
      <c r="C230" s="175">
        <f t="shared" si="121"/>
        <v>6</v>
      </c>
      <c r="D230" s="241">
        <f t="shared" si="121"/>
        <v>555136.36363636365</v>
      </c>
      <c r="E230" s="110">
        <f t="shared" si="121"/>
        <v>0.16666666666666666</v>
      </c>
      <c r="F230" s="47">
        <v>0</v>
      </c>
      <c r="G230" s="48">
        <v>0</v>
      </c>
      <c r="H230" s="48">
        <f t="shared" si="120"/>
        <v>0</v>
      </c>
    </row>
    <row r="231" spans="1:8" ht="17.100000000000001" hidden="1" customHeight="1">
      <c r="A231" s="176"/>
      <c r="B231" s="170" t="s">
        <v>103</v>
      </c>
      <c r="C231" s="242"/>
      <c r="D231" s="243">
        <f>SUM(D227:D230)</f>
        <v>5789463.6363636358</v>
      </c>
      <c r="E231" s="15"/>
      <c r="F231" s="49">
        <f>SUM(F227:F230)</f>
        <v>0</v>
      </c>
      <c r="G231" s="49">
        <f t="shared" ref="G231" si="122">SUM(G227:G230)</f>
        <v>0</v>
      </c>
      <c r="H231" s="49">
        <f t="shared" ref="H231" si="123">SUM(H227:H230)</f>
        <v>0</v>
      </c>
    </row>
    <row r="232" spans="1:8" ht="17.100000000000001" hidden="1" customHeight="1">
      <c r="A232" s="45"/>
      <c r="B232" s="40" t="s">
        <v>104</v>
      </c>
      <c r="C232" s="315"/>
      <c r="D232" s="315"/>
      <c r="E232" s="15"/>
      <c r="F232" s="49">
        <f>H223-F231</f>
        <v>0</v>
      </c>
      <c r="G232" s="49">
        <f>F232-G231</f>
        <v>0</v>
      </c>
      <c r="H232" s="49">
        <f>G232-H231</f>
        <v>0</v>
      </c>
    </row>
    <row r="233" spans="1:8" ht="17.100000000000001" customHeight="1">
      <c r="A233" s="120" t="s">
        <v>355</v>
      </c>
      <c r="B233" s="119"/>
      <c r="C233" s="119"/>
      <c r="D233" s="119"/>
    </row>
    <row r="234" spans="1:8" ht="17.100000000000001" customHeight="1">
      <c r="A234" s="308" t="s">
        <v>362</v>
      </c>
      <c r="B234" s="308"/>
      <c r="C234" s="308"/>
      <c r="D234" s="119"/>
      <c r="E234" s="215">
        <v>3100</v>
      </c>
      <c r="F234" s="1" t="s">
        <v>357</v>
      </c>
    </row>
    <row r="235" spans="1:8" ht="17.100000000000001" customHeight="1">
      <c r="A235" s="308" t="s">
        <v>358</v>
      </c>
      <c r="B235" s="308"/>
      <c r="C235" s="308"/>
      <c r="D235" s="119"/>
      <c r="E235" s="214">
        <v>11444</v>
      </c>
      <c r="F235" s="1" t="s">
        <v>359</v>
      </c>
    </row>
    <row r="236" spans="1:8" ht="17.100000000000001" customHeight="1">
      <c r="A236" s="308" t="s">
        <v>360</v>
      </c>
      <c r="B236" s="308"/>
      <c r="C236" s="308"/>
      <c r="D236" s="308"/>
      <c r="E236" s="5">
        <v>0.05</v>
      </c>
      <c r="F236" s="1" t="s">
        <v>72</v>
      </c>
    </row>
    <row r="237" spans="1:8" ht="17.100000000000001" customHeight="1">
      <c r="A237" s="127"/>
      <c r="B237" s="127"/>
      <c r="C237" s="127"/>
      <c r="D237" s="127"/>
      <c r="E237" s="5"/>
    </row>
    <row r="238" spans="1:8">
      <c r="A238" s="314" t="s">
        <v>261</v>
      </c>
      <c r="B238" s="314"/>
      <c r="C238" s="314"/>
      <c r="D238" s="314"/>
      <c r="E238" s="314"/>
      <c r="F238" s="314"/>
      <c r="G238" s="314"/>
      <c r="H238" s="314"/>
    </row>
    <row r="239" spans="1:8">
      <c r="A239" s="7" t="s">
        <v>117</v>
      </c>
      <c r="B239" s="7"/>
      <c r="C239" s="7"/>
      <c r="D239" s="3">
        <v>15</v>
      </c>
      <c r="E239" s="1" t="s">
        <v>118</v>
      </c>
    </row>
    <row r="240" spans="1:8">
      <c r="A240" s="7" t="s">
        <v>119</v>
      </c>
      <c r="B240" s="7"/>
      <c r="C240" s="7"/>
      <c r="D240" s="5">
        <f>C14</f>
        <v>0.2</v>
      </c>
    </row>
    <row r="241" spans="1:9">
      <c r="A241" s="322" t="s">
        <v>263</v>
      </c>
      <c r="B241" s="322"/>
      <c r="C241" s="322"/>
      <c r="D241" s="322"/>
      <c r="E241" s="322"/>
      <c r="F241" s="322"/>
      <c r="G241" s="322"/>
      <c r="H241" s="322"/>
    </row>
    <row r="242" spans="1:9">
      <c r="A242" s="7"/>
      <c r="B242" s="7"/>
      <c r="C242" s="7"/>
      <c r="G242" s="29" t="s">
        <v>60</v>
      </c>
      <c r="H242" s="30" t="s">
        <v>61</v>
      </c>
    </row>
    <row r="243" spans="1:9" ht="18.95" customHeight="1">
      <c r="A243" s="209" t="s">
        <v>1</v>
      </c>
      <c r="B243" s="311" t="s">
        <v>120</v>
      </c>
      <c r="C243" s="311"/>
      <c r="D243" s="209" t="s">
        <v>33</v>
      </c>
      <c r="E243" s="209" t="s">
        <v>34</v>
      </c>
      <c r="F243" s="209" t="s">
        <v>35</v>
      </c>
      <c r="G243" s="209" t="s">
        <v>36</v>
      </c>
      <c r="H243" s="209" t="s">
        <v>37</v>
      </c>
    </row>
    <row r="244" spans="1:9" ht="18.95" customHeight="1">
      <c r="A244" s="57" t="s">
        <v>41</v>
      </c>
      <c r="B244" s="312" t="s">
        <v>121</v>
      </c>
      <c r="C244" s="312"/>
      <c r="D244" s="58">
        <f>D91</f>
        <v>41959050</v>
      </c>
      <c r="E244" s="58">
        <f t="shared" ref="E244:H244" si="124">E91</f>
        <v>43866088.822500005</v>
      </c>
      <c r="F244" s="58">
        <f t="shared" si="124"/>
        <v>45859802.559482612</v>
      </c>
      <c r="G244" s="58">
        <f t="shared" si="124"/>
        <v>47944130.585811101</v>
      </c>
      <c r="H244" s="58">
        <f t="shared" si="124"/>
        <v>50123191.32093621</v>
      </c>
    </row>
    <row r="245" spans="1:9" ht="18.95" customHeight="1">
      <c r="A245" s="59" t="s">
        <v>43</v>
      </c>
      <c r="B245" s="309" t="s">
        <v>122</v>
      </c>
      <c r="C245" s="309"/>
      <c r="D245" s="60">
        <f>SUM(D246:D248)</f>
        <v>40791609.021212123</v>
      </c>
      <c r="E245" s="60">
        <f>SUM(E246:E248)</f>
        <v>42590718.56143713</v>
      </c>
      <c r="F245" s="60">
        <f>SUM(F246:F248)</f>
        <v>44466415.950105347</v>
      </c>
      <c r="G245" s="60">
        <f>SUM(G246:G248)</f>
        <v>46427897.861305796</v>
      </c>
      <c r="H245" s="60">
        <f>SUM(H246:H248)</f>
        <v>48479129.526829571</v>
      </c>
    </row>
    <row r="246" spans="1:9" ht="18.95" customHeight="1">
      <c r="A246" s="61">
        <v>1</v>
      </c>
      <c r="B246" s="310" t="s">
        <v>262</v>
      </c>
      <c r="C246" s="310"/>
      <c r="D246" s="256">
        <f>D161</f>
        <v>39997510.5</v>
      </c>
      <c r="E246" s="256">
        <f t="shared" ref="E246:H246" si="125">E161</f>
        <v>41796620.040225007</v>
      </c>
      <c r="F246" s="256">
        <f t="shared" si="125"/>
        <v>43672317.428893223</v>
      </c>
      <c r="G246" s="256">
        <f t="shared" si="125"/>
        <v>45633799.340093672</v>
      </c>
      <c r="H246" s="256">
        <f t="shared" si="125"/>
        <v>47685031.005617447</v>
      </c>
    </row>
    <row r="247" spans="1:9" ht="18.95" customHeight="1">
      <c r="A247" s="61">
        <v>2</v>
      </c>
      <c r="B247" s="310" t="s">
        <v>123</v>
      </c>
      <c r="C247" s="310"/>
      <c r="D247" s="257">
        <f>F195</f>
        <v>758622.12121212122</v>
      </c>
      <c r="E247" s="257">
        <f>D247</f>
        <v>758622.12121212122</v>
      </c>
      <c r="F247" s="257">
        <f t="shared" ref="F247:H248" si="126">E247</f>
        <v>758622.12121212122</v>
      </c>
      <c r="G247" s="257">
        <f t="shared" si="126"/>
        <v>758622.12121212122</v>
      </c>
      <c r="H247" s="257">
        <f t="shared" si="126"/>
        <v>758622.12121212122</v>
      </c>
    </row>
    <row r="248" spans="1:9" ht="18.95" customHeight="1">
      <c r="A248" s="61">
        <v>3</v>
      </c>
      <c r="B248" s="310" t="s">
        <v>124</v>
      </c>
      <c r="C248" s="310"/>
      <c r="D248" s="256">
        <f>E234*E235/1000</f>
        <v>35476.400000000001</v>
      </c>
      <c r="E248" s="257">
        <f>D248</f>
        <v>35476.400000000001</v>
      </c>
      <c r="F248" s="257">
        <f t="shared" si="126"/>
        <v>35476.400000000001</v>
      </c>
      <c r="G248" s="257">
        <f t="shared" si="126"/>
        <v>35476.400000000001</v>
      </c>
      <c r="H248" s="257">
        <f t="shared" si="126"/>
        <v>35476.400000000001</v>
      </c>
    </row>
    <row r="249" spans="1:9" ht="18.95" customHeight="1">
      <c r="A249" s="59" t="s">
        <v>125</v>
      </c>
      <c r="B249" s="309" t="s">
        <v>129</v>
      </c>
      <c r="C249" s="309"/>
      <c r="D249" s="64">
        <f>D244-D245</f>
        <v>1167440.9787878767</v>
      </c>
      <c r="E249" s="64">
        <f t="shared" ref="E249:H249" si="127">E244-E245</f>
        <v>1275370.2610628754</v>
      </c>
      <c r="F249" s="64">
        <f t="shared" si="127"/>
        <v>1393386.609377265</v>
      </c>
      <c r="G249" s="64">
        <f t="shared" si="127"/>
        <v>1516232.7245053053</v>
      </c>
      <c r="H249" s="64">
        <f t="shared" si="127"/>
        <v>1644061.7941066399</v>
      </c>
    </row>
    <row r="250" spans="1:9" ht="18.95" customHeight="1">
      <c r="A250" s="61"/>
      <c r="B250" s="310" t="s">
        <v>126</v>
      </c>
      <c r="C250" s="310"/>
      <c r="D250" s="65">
        <f>D249*$D$240</f>
        <v>233488.19575757533</v>
      </c>
      <c r="E250" s="65">
        <f t="shared" ref="E250:H250" si="128">E249*$D$240</f>
        <v>255074.0522125751</v>
      </c>
      <c r="F250" s="65">
        <f t="shared" si="128"/>
        <v>278677.321875453</v>
      </c>
      <c r="G250" s="65">
        <f t="shared" si="128"/>
        <v>303246.54490106105</v>
      </c>
      <c r="H250" s="65">
        <f t="shared" si="128"/>
        <v>328812.35882132803</v>
      </c>
      <c r="I250" s="69"/>
    </row>
    <row r="251" spans="1:9" ht="18.95" customHeight="1">
      <c r="A251" s="59" t="s">
        <v>127</v>
      </c>
      <c r="B251" s="309" t="s">
        <v>128</v>
      </c>
      <c r="C251" s="309"/>
      <c r="D251" s="64">
        <f>D249-D250</f>
        <v>933952.78303030133</v>
      </c>
      <c r="E251" s="64">
        <f t="shared" ref="E251:H251" si="129">E249-E250</f>
        <v>1020296.2088503003</v>
      </c>
      <c r="F251" s="64">
        <f t="shared" si="129"/>
        <v>1114709.287501812</v>
      </c>
      <c r="G251" s="64">
        <f t="shared" si="129"/>
        <v>1212986.1796042442</v>
      </c>
      <c r="H251" s="64">
        <f t="shared" si="129"/>
        <v>1315249.4352853119</v>
      </c>
    </row>
    <row r="252" spans="1:9" ht="20.100000000000001" customHeight="1">
      <c r="B252" s="313"/>
      <c r="C252" s="313"/>
    </row>
    <row r="253" spans="1:9" ht="18.95" customHeight="1">
      <c r="A253" s="209" t="s">
        <v>1</v>
      </c>
      <c r="B253" s="311" t="s">
        <v>120</v>
      </c>
      <c r="C253" s="311"/>
      <c r="D253" s="209" t="s">
        <v>50</v>
      </c>
      <c r="E253" s="209" t="s">
        <v>51</v>
      </c>
      <c r="F253" s="209" t="s">
        <v>52</v>
      </c>
      <c r="G253" s="209" t="s">
        <v>53</v>
      </c>
      <c r="H253" s="209" t="s">
        <v>54</v>
      </c>
    </row>
    <row r="254" spans="1:9" ht="18.95" customHeight="1">
      <c r="A254" s="230" t="s">
        <v>41</v>
      </c>
      <c r="B254" s="312" t="s">
        <v>121</v>
      </c>
      <c r="C254" s="312"/>
      <c r="D254" s="58">
        <f>D100</f>
        <v>52401290.366472758</v>
      </c>
      <c r="E254" s="58">
        <f t="shared" ref="E254:H254" si="130">E100</f>
        <v>54782929.013628937</v>
      </c>
      <c r="F254" s="58">
        <f t="shared" si="130"/>
        <v>57272813.137298368</v>
      </c>
      <c r="G254" s="58">
        <f t="shared" si="130"/>
        <v>59875862.49438858</v>
      </c>
      <c r="H254" s="58">
        <f t="shared" si="130"/>
        <v>62597220.444758534</v>
      </c>
    </row>
    <row r="255" spans="1:9" ht="18.95" customHeight="1">
      <c r="A255" s="59" t="s">
        <v>43</v>
      </c>
      <c r="B255" s="309" t="s">
        <v>122</v>
      </c>
      <c r="C255" s="309"/>
      <c r="D255" s="60">
        <f>SUM(D256:D258)</f>
        <v>50630998.775750972</v>
      </c>
      <c r="E255" s="60">
        <f>SUM(E256:E258)</f>
        <v>52429063.153896235</v>
      </c>
      <c r="F255" s="60">
        <f>SUM(F256:F258)</f>
        <v>54777872.643485039</v>
      </c>
      <c r="G255" s="60">
        <f>SUM(G256:G258)</f>
        <v>57232834.480025344</v>
      </c>
      <c r="H255" s="60">
        <f>SUM(H256:H258)</f>
        <v>59798753.584364429</v>
      </c>
    </row>
    <row r="256" spans="1:9" ht="18.95" customHeight="1">
      <c r="A256" s="61">
        <v>1</v>
      </c>
      <c r="B256" s="310" t="s">
        <v>262</v>
      </c>
      <c r="C256" s="310"/>
      <c r="D256" s="256">
        <f>D172</f>
        <v>49835126.434538849</v>
      </c>
      <c r="E256" s="256">
        <f t="shared" ref="E256:H256" si="131">E172</f>
        <v>52082380.20662351</v>
      </c>
      <c r="F256" s="256">
        <f t="shared" si="131"/>
        <v>54431189.696212314</v>
      </c>
      <c r="G256" s="256">
        <f t="shared" si="131"/>
        <v>56886151.532752618</v>
      </c>
      <c r="H256" s="256">
        <f t="shared" si="131"/>
        <v>59452070.637091704</v>
      </c>
    </row>
    <row r="257" spans="1:8" ht="18.95" customHeight="1">
      <c r="A257" s="61">
        <v>2</v>
      </c>
      <c r="B257" s="310" t="s">
        <v>123</v>
      </c>
      <c r="C257" s="310"/>
      <c r="D257" s="257">
        <f>H204</f>
        <v>758622.12121212122</v>
      </c>
      <c r="E257" s="257">
        <f>F213</f>
        <v>309432.72727272729</v>
      </c>
      <c r="F257" s="257">
        <f t="shared" ref="F257:F258" si="132">E257</f>
        <v>309432.72727272729</v>
      </c>
      <c r="G257" s="257">
        <f t="shared" ref="G257:G258" si="133">F257</f>
        <v>309432.72727272729</v>
      </c>
      <c r="H257" s="257">
        <f t="shared" ref="H257:H258" si="134">G257</f>
        <v>309432.72727272729</v>
      </c>
    </row>
    <row r="258" spans="1:8" ht="18.95" customHeight="1">
      <c r="A258" s="61">
        <v>3</v>
      </c>
      <c r="B258" s="310" t="s">
        <v>124</v>
      </c>
      <c r="C258" s="310"/>
      <c r="D258" s="256">
        <f>E234*E235/1000*(1+E236)</f>
        <v>37250.22</v>
      </c>
      <c r="E258" s="257">
        <f>D258</f>
        <v>37250.22</v>
      </c>
      <c r="F258" s="257">
        <f t="shared" si="132"/>
        <v>37250.22</v>
      </c>
      <c r="G258" s="257">
        <f t="shared" si="133"/>
        <v>37250.22</v>
      </c>
      <c r="H258" s="257">
        <f t="shared" si="134"/>
        <v>37250.22</v>
      </c>
    </row>
    <row r="259" spans="1:8" ht="18.95" customHeight="1">
      <c r="A259" s="59" t="s">
        <v>125</v>
      </c>
      <c r="B259" s="309" t="s">
        <v>129</v>
      </c>
      <c r="C259" s="309"/>
      <c r="D259" s="64">
        <f>D254-D255</f>
        <v>1770291.590721786</v>
      </c>
      <c r="E259" s="64">
        <f t="shared" ref="E259:H259" si="135">E254-E255</f>
        <v>2353865.8597327024</v>
      </c>
      <c r="F259" s="64">
        <f t="shared" si="135"/>
        <v>2494940.4938133284</v>
      </c>
      <c r="G259" s="64">
        <f t="shared" si="135"/>
        <v>2643028.0143632367</v>
      </c>
      <c r="H259" s="64">
        <f t="shared" si="135"/>
        <v>2798466.8603941053</v>
      </c>
    </row>
    <row r="260" spans="1:8" ht="18.95" customHeight="1">
      <c r="A260" s="61"/>
      <c r="B260" s="310" t="s">
        <v>126</v>
      </c>
      <c r="C260" s="310"/>
      <c r="D260" s="65">
        <f>D259*$D$240</f>
        <v>354058.31814435724</v>
      </c>
      <c r="E260" s="65">
        <f t="shared" ref="E260:H260" si="136">E259*$D$240</f>
        <v>470773.17194654047</v>
      </c>
      <c r="F260" s="65">
        <f t="shared" si="136"/>
        <v>498988.0987626657</v>
      </c>
      <c r="G260" s="65">
        <f t="shared" si="136"/>
        <v>528605.60287264735</v>
      </c>
      <c r="H260" s="65">
        <f t="shared" si="136"/>
        <v>559693.37207882106</v>
      </c>
    </row>
    <row r="261" spans="1:8" ht="18.95" customHeight="1">
      <c r="A261" s="59" t="s">
        <v>127</v>
      </c>
      <c r="B261" s="309" t="s">
        <v>128</v>
      </c>
      <c r="C261" s="309"/>
      <c r="D261" s="64">
        <f>D259-D260</f>
        <v>1416233.2725774287</v>
      </c>
      <c r="E261" s="64">
        <f t="shared" ref="E261:H261" si="137">E259-E260</f>
        <v>1883092.6877861619</v>
      </c>
      <c r="F261" s="64">
        <f t="shared" si="137"/>
        <v>1995952.3950506628</v>
      </c>
      <c r="G261" s="64">
        <f t="shared" si="137"/>
        <v>2114422.4114905894</v>
      </c>
      <c r="H261" s="64">
        <f t="shared" si="137"/>
        <v>2238773.4883152843</v>
      </c>
    </row>
    <row r="262" spans="1:8" ht="20.100000000000001" customHeight="1"/>
    <row r="263" spans="1:8" ht="18.95" customHeight="1">
      <c r="A263" s="209" t="s">
        <v>1</v>
      </c>
      <c r="B263" s="311" t="s">
        <v>120</v>
      </c>
      <c r="C263" s="311"/>
      <c r="D263" s="209" t="s">
        <v>55</v>
      </c>
      <c r="E263" s="209" t="s">
        <v>56</v>
      </c>
      <c r="F263" s="209" t="s">
        <v>57</v>
      </c>
      <c r="G263" s="209" t="s">
        <v>58</v>
      </c>
      <c r="H263" s="209" t="s">
        <v>59</v>
      </c>
    </row>
    <row r="264" spans="1:8" ht="18.95" customHeight="1">
      <c r="A264" s="230" t="s">
        <v>41</v>
      </c>
      <c r="B264" s="312" t="s">
        <v>121</v>
      </c>
      <c r="C264" s="312"/>
      <c r="D264" s="58">
        <f>D109</f>
        <v>65442264.113972805</v>
      </c>
      <c r="E264" s="58">
        <f t="shared" ref="E264:H264" si="138">E109</f>
        <v>68416615.017952859</v>
      </c>
      <c r="F264" s="58">
        <f t="shared" si="138"/>
        <v>71526150.17051883</v>
      </c>
      <c r="G264" s="58">
        <f t="shared" si="138"/>
        <v>74777013.695768908</v>
      </c>
      <c r="H264" s="58">
        <f t="shared" si="138"/>
        <v>78175628.968241587</v>
      </c>
    </row>
    <row r="265" spans="1:8" ht="18.95" customHeight="1">
      <c r="A265" s="59" t="s">
        <v>43</v>
      </c>
      <c r="B265" s="309" t="s">
        <v>122</v>
      </c>
      <c r="C265" s="309"/>
      <c r="D265" s="60">
        <f>SUM(D266:D268)</f>
        <v>62173082.398818798</v>
      </c>
      <c r="E265" s="60">
        <f>SUM(E266:E268)</f>
        <v>64976211.627271309</v>
      </c>
      <c r="F265" s="60">
        <f>SUM(F266:F268)</f>
        <v>67906059.260666057</v>
      </c>
      <c r="G265" s="60">
        <f>SUM(G266:G268)</f>
        <v>70968362.233699754</v>
      </c>
      <c r="H265" s="60">
        <f>SUM(H266:H268)</f>
        <v>74169117.489887714</v>
      </c>
    </row>
    <row r="266" spans="1:8" ht="18.95" customHeight="1">
      <c r="A266" s="61">
        <v>1</v>
      </c>
      <c r="B266" s="310" t="s">
        <v>262</v>
      </c>
      <c r="C266" s="310"/>
      <c r="D266" s="256">
        <f>D182</f>
        <v>62133969.6678188</v>
      </c>
      <c r="E266" s="256">
        <f t="shared" ref="E266:H266" si="139">E182</f>
        <v>64937098.896271311</v>
      </c>
      <c r="F266" s="256">
        <f t="shared" si="139"/>
        <v>67866946.529666051</v>
      </c>
      <c r="G266" s="256">
        <f t="shared" si="139"/>
        <v>70929249.502699748</v>
      </c>
      <c r="H266" s="256">
        <f t="shared" si="139"/>
        <v>74130004.758887708</v>
      </c>
    </row>
    <row r="267" spans="1:8" ht="18.95" customHeight="1">
      <c r="A267" s="61">
        <v>2</v>
      </c>
      <c r="B267" s="310" t="s">
        <v>123</v>
      </c>
      <c r="C267" s="310"/>
      <c r="D267" s="257">
        <f>G222</f>
        <v>0</v>
      </c>
      <c r="E267" s="257">
        <f>D267</f>
        <v>0</v>
      </c>
      <c r="F267" s="257">
        <f t="shared" ref="F267:F268" si="140">E267</f>
        <v>0</v>
      </c>
      <c r="G267" s="257">
        <f t="shared" ref="G267:G268" si="141">F267</f>
        <v>0</v>
      </c>
      <c r="H267" s="257">
        <f t="shared" ref="H267:H268" si="142">G267</f>
        <v>0</v>
      </c>
    </row>
    <row r="268" spans="1:8" ht="18.95" customHeight="1">
      <c r="A268" s="61">
        <v>3</v>
      </c>
      <c r="B268" s="310" t="s">
        <v>124</v>
      </c>
      <c r="C268" s="310"/>
      <c r="D268" s="256">
        <f>D258*(1+E236)</f>
        <v>39112.731</v>
      </c>
      <c r="E268" s="257">
        <f>D268</f>
        <v>39112.731</v>
      </c>
      <c r="F268" s="257">
        <f t="shared" si="140"/>
        <v>39112.731</v>
      </c>
      <c r="G268" s="257">
        <f t="shared" si="141"/>
        <v>39112.731</v>
      </c>
      <c r="H268" s="257">
        <f t="shared" si="142"/>
        <v>39112.731</v>
      </c>
    </row>
    <row r="269" spans="1:8" ht="18.95" customHeight="1">
      <c r="A269" s="59" t="s">
        <v>125</v>
      </c>
      <c r="B269" s="309" t="s">
        <v>129</v>
      </c>
      <c r="C269" s="309"/>
      <c r="D269" s="64">
        <f>D264-D265</f>
        <v>3269181.7151540071</v>
      </c>
      <c r="E269" s="64">
        <f t="shared" ref="E269:H269" si="143">E264-E265</f>
        <v>3440403.3906815499</v>
      </c>
      <c r="F269" s="64">
        <f t="shared" si="143"/>
        <v>3620090.909852773</v>
      </c>
      <c r="G269" s="64">
        <f t="shared" si="143"/>
        <v>3808651.4620691538</v>
      </c>
      <c r="H269" s="64">
        <f t="shared" si="143"/>
        <v>4006511.4783538729</v>
      </c>
    </row>
    <row r="270" spans="1:8" ht="18.95" customHeight="1">
      <c r="A270" s="61"/>
      <c r="B270" s="310" t="s">
        <v>126</v>
      </c>
      <c r="C270" s="310"/>
      <c r="D270" s="65">
        <f>D269*$D$240</f>
        <v>653836.34303080151</v>
      </c>
      <c r="E270" s="65">
        <f t="shared" ref="E270:H270" si="144">E269*$D$240</f>
        <v>688080.67813631007</v>
      </c>
      <c r="F270" s="65">
        <f t="shared" si="144"/>
        <v>724018.18197055464</v>
      </c>
      <c r="G270" s="65">
        <f t="shared" si="144"/>
        <v>761730.29241383076</v>
      </c>
      <c r="H270" s="65">
        <f t="shared" si="144"/>
        <v>801302.29567077465</v>
      </c>
    </row>
    <row r="271" spans="1:8" ht="18.95" customHeight="1">
      <c r="A271" s="59" t="s">
        <v>127</v>
      </c>
      <c r="B271" s="309" t="s">
        <v>128</v>
      </c>
      <c r="C271" s="309"/>
      <c r="D271" s="64">
        <f>D269-D270</f>
        <v>2615345.3721232056</v>
      </c>
      <c r="E271" s="64">
        <f t="shared" ref="E271:H271" si="145">E269-E270</f>
        <v>2752322.7125452398</v>
      </c>
      <c r="F271" s="64">
        <f t="shared" si="145"/>
        <v>2896072.7278822185</v>
      </c>
      <c r="G271" s="64">
        <f t="shared" si="145"/>
        <v>3046921.169655323</v>
      </c>
      <c r="H271" s="64">
        <f t="shared" si="145"/>
        <v>3205209.1826830981</v>
      </c>
    </row>
    <row r="272" spans="1:8" ht="18.95" customHeight="1"/>
    <row r="273" ht="18.95" customHeight="1"/>
    <row r="274" ht="18.95" customHeight="1"/>
    <row r="275" ht="18.95" customHeight="1"/>
    <row r="276" ht="18.95" customHeight="1"/>
    <row r="277" ht="18.95" customHeight="1"/>
    <row r="278" ht="18.95" customHeight="1"/>
    <row r="279" ht="18.95" customHeight="1"/>
    <row r="280" ht="18.95" customHeight="1"/>
    <row r="281" ht="18.95" customHeight="1"/>
    <row r="282" ht="18.95" customHeight="1"/>
    <row r="283" ht="18.95" customHeight="1"/>
    <row r="284" ht="18.95" customHeight="1"/>
    <row r="285" ht="18.95" customHeight="1"/>
    <row r="286" ht="18.95" customHeight="1"/>
    <row r="287" ht="18.95" customHeight="1"/>
    <row r="288" ht="18.95" customHeight="1"/>
    <row r="289" ht="18.95" customHeight="1"/>
    <row r="290" ht="18.95" customHeight="1"/>
    <row r="291" ht="18.95" customHeight="1"/>
    <row r="292" ht="18.95" customHeight="1"/>
    <row r="293" ht="18.95" customHeight="1"/>
    <row r="294" ht="18.95" customHeight="1"/>
    <row r="295" ht="18.95" customHeight="1"/>
    <row r="296" ht="18.95" customHeight="1"/>
    <row r="297" ht="18.95" customHeight="1"/>
    <row r="298" ht="18.95" customHeight="1"/>
    <row r="299" ht="18.95" customHeight="1"/>
    <row r="300" ht="18.95" customHeight="1"/>
    <row r="301" ht="18.95" customHeight="1"/>
    <row r="302" ht="18.95" customHeight="1"/>
    <row r="303" ht="18.95" customHeight="1"/>
    <row r="304" ht="18.95" customHeight="1"/>
    <row r="305" ht="18.95" customHeight="1"/>
    <row r="306" ht="18.95" customHeight="1"/>
    <row r="307" ht="18.95" customHeight="1"/>
    <row r="308" ht="18.95" customHeight="1"/>
    <row r="309" ht="18.95" customHeight="1"/>
    <row r="310" ht="18.95" customHeight="1"/>
    <row r="311" ht="18.95" customHeight="1"/>
    <row r="312" ht="18.95" customHeight="1"/>
    <row r="313" ht="18.95" customHeight="1"/>
  </sheetData>
  <mergeCells count="164">
    <mergeCell ref="A234:C234"/>
    <mergeCell ref="A235:C235"/>
    <mergeCell ref="I186:J186"/>
    <mergeCell ref="K186:O186"/>
    <mergeCell ref="A186:H186"/>
    <mergeCell ref="B160:C160"/>
    <mergeCell ref="B161:C161"/>
    <mergeCell ref="A146:C146"/>
    <mergeCell ref="E146:H146"/>
    <mergeCell ref="B157:C157"/>
    <mergeCell ref="B158:C158"/>
    <mergeCell ref="B171:C171"/>
    <mergeCell ref="B172:C172"/>
    <mergeCell ref="A174:A175"/>
    <mergeCell ref="B174:C174"/>
    <mergeCell ref="B175:C175"/>
    <mergeCell ref="B176:C176"/>
    <mergeCell ref="B177:C177"/>
    <mergeCell ref="B178:C178"/>
    <mergeCell ref="B62:C62"/>
    <mergeCell ref="B63:C63"/>
    <mergeCell ref="B64:C64"/>
    <mergeCell ref="B90:C90"/>
    <mergeCell ref="B251:C251"/>
    <mergeCell ref="B252:C252"/>
    <mergeCell ref="A13:H13"/>
    <mergeCell ref="A6:B6"/>
    <mergeCell ref="A7:B7"/>
    <mergeCell ref="A8:B8"/>
    <mergeCell ref="A9:B9"/>
    <mergeCell ref="B27:D27"/>
    <mergeCell ref="A14:B14"/>
    <mergeCell ref="B20:D20"/>
    <mergeCell ref="B21:D21"/>
    <mergeCell ref="C232:D232"/>
    <mergeCell ref="B245:C245"/>
    <mergeCell ref="B247:C247"/>
    <mergeCell ref="B248:C248"/>
    <mergeCell ref="B249:C249"/>
    <mergeCell ref="B250:C250"/>
    <mergeCell ref="A238:H238"/>
    <mergeCell ref="B243:C243"/>
    <mergeCell ref="B244:C244"/>
    <mergeCell ref="B60:C60"/>
    <mergeCell ref="B61:C61"/>
    <mergeCell ref="A236:D236"/>
    <mergeCell ref="C223:D223"/>
    <mergeCell ref="C214:D214"/>
    <mergeCell ref="C196:D196"/>
    <mergeCell ref="B24:D24"/>
    <mergeCell ref="B25:D25"/>
    <mergeCell ref="A111:H111"/>
    <mergeCell ref="B130:C130"/>
    <mergeCell ref="B131:C131"/>
    <mergeCell ref="B132:C132"/>
    <mergeCell ref="A185:H185"/>
    <mergeCell ref="B133:C133"/>
    <mergeCell ref="B134:C134"/>
    <mergeCell ref="A148:C148"/>
    <mergeCell ref="E148:H148"/>
    <mergeCell ref="A149:C149"/>
    <mergeCell ref="E149:H149"/>
    <mergeCell ref="A151:H151"/>
    <mergeCell ref="A153:A154"/>
    <mergeCell ref="B153:C153"/>
    <mergeCell ref="B154:C154"/>
    <mergeCell ref="B155:C155"/>
    <mergeCell ref="A5:H5"/>
    <mergeCell ref="A10:B10"/>
    <mergeCell ref="A11:B11"/>
    <mergeCell ref="A1:H1"/>
    <mergeCell ref="A2:H2"/>
    <mergeCell ref="A3:H3"/>
    <mergeCell ref="A17:E17"/>
    <mergeCell ref="B23:D23"/>
    <mergeCell ref="B22:D22"/>
    <mergeCell ref="A15:B15"/>
    <mergeCell ref="A16:B16"/>
    <mergeCell ref="A4:C4"/>
    <mergeCell ref="B85:C85"/>
    <mergeCell ref="B86:C86"/>
    <mergeCell ref="B87:C87"/>
    <mergeCell ref="B88:C88"/>
    <mergeCell ref="B89:C89"/>
    <mergeCell ref="C205:D205"/>
    <mergeCell ref="A12:H12"/>
    <mergeCell ref="B26:D26"/>
    <mergeCell ref="A147:C147"/>
    <mergeCell ref="B66:C66"/>
    <mergeCell ref="B67:C67"/>
    <mergeCell ref="B68:C68"/>
    <mergeCell ref="B69:C69"/>
    <mergeCell ref="B70:C70"/>
    <mergeCell ref="B71:C71"/>
    <mergeCell ref="B72:C72"/>
    <mergeCell ref="B74:C74"/>
    <mergeCell ref="B75:C75"/>
    <mergeCell ref="B76:C76"/>
    <mergeCell ref="B77:C77"/>
    <mergeCell ref="B78:C78"/>
    <mergeCell ref="B79:C79"/>
    <mergeCell ref="B58:C58"/>
    <mergeCell ref="B59:C59"/>
    <mergeCell ref="B166:C166"/>
    <mergeCell ref="B167:C167"/>
    <mergeCell ref="B168:C168"/>
    <mergeCell ref="B169:C169"/>
    <mergeCell ref="B170:C170"/>
    <mergeCell ref="B80:C80"/>
    <mergeCell ref="B93:C93"/>
    <mergeCell ref="B94:C94"/>
    <mergeCell ref="B95:C95"/>
    <mergeCell ref="B96:C96"/>
    <mergeCell ref="B97:C97"/>
    <mergeCell ref="B98:C98"/>
    <mergeCell ref="B99:C99"/>
    <mergeCell ref="B100:C100"/>
    <mergeCell ref="B102:C102"/>
    <mergeCell ref="B103:C103"/>
    <mergeCell ref="B104:C104"/>
    <mergeCell ref="B105:C105"/>
    <mergeCell ref="B106:C106"/>
    <mergeCell ref="B107:C107"/>
    <mergeCell ref="B108:C108"/>
    <mergeCell ref="B109:C109"/>
    <mergeCell ref="B91:C91"/>
    <mergeCell ref="B84:C84"/>
    <mergeCell ref="B135:C135"/>
    <mergeCell ref="B136:C136"/>
    <mergeCell ref="B137:C137"/>
    <mergeCell ref="B138:C138"/>
    <mergeCell ref="B140:C140"/>
    <mergeCell ref="B141:C141"/>
    <mergeCell ref="B142:C142"/>
    <mergeCell ref="B143:C143"/>
    <mergeCell ref="A164:A165"/>
    <mergeCell ref="B164:C164"/>
    <mergeCell ref="B165:C165"/>
    <mergeCell ref="B156:C156"/>
    <mergeCell ref="B159:C159"/>
    <mergeCell ref="B266:C266"/>
    <mergeCell ref="B267:C267"/>
    <mergeCell ref="B268:C268"/>
    <mergeCell ref="B269:C269"/>
    <mergeCell ref="B270:C270"/>
    <mergeCell ref="B271:C271"/>
    <mergeCell ref="B179:C179"/>
    <mergeCell ref="B180:C180"/>
    <mergeCell ref="B181:C181"/>
    <mergeCell ref="B182:C182"/>
    <mergeCell ref="A241:H241"/>
    <mergeCell ref="B253:C253"/>
    <mergeCell ref="B254:C254"/>
    <mergeCell ref="B255:C255"/>
    <mergeCell ref="B256:C256"/>
    <mergeCell ref="B257:C257"/>
    <mergeCell ref="B258:C258"/>
    <mergeCell ref="B259:C259"/>
    <mergeCell ref="B260:C260"/>
    <mergeCell ref="B261:C261"/>
    <mergeCell ref="B263:C263"/>
    <mergeCell ref="B264:C264"/>
    <mergeCell ref="B265:C265"/>
    <mergeCell ref="B246:C246"/>
  </mergeCells>
  <pageMargins left="0.70866141732283472" right="0.31496062992125984" top="0.74803149606299213" bottom="0.74803149606299213" header="0.31496062992125984" footer="0.31496062992125984"/>
  <pageSetup paperSize="9" scale="80" orientation="portrait" verticalDpi="0" r:id="rId1"/>
  <headerFooter>
    <oddFooter>&amp;R&amp;N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dimension ref="A1:Q342"/>
  <sheetViews>
    <sheetView zoomScale="115" zoomScaleNormal="115" zoomScaleSheetLayoutView="115" workbookViewId="0">
      <selection activeCell="H335" sqref="H335"/>
    </sheetView>
  </sheetViews>
  <sheetFormatPr defaultRowHeight="16.5"/>
  <cols>
    <col min="1" max="1" width="4.125" style="96" customWidth="1"/>
    <col min="2" max="2" width="28.25" style="96" customWidth="1"/>
    <col min="3" max="3" width="11" style="96" customWidth="1"/>
    <col min="4" max="4" width="12.625" style="96" customWidth="1"/>
    <col min="5" max="6" width="12.625" style="1" customWidth="1"/>
    <col min="7" max="7" width="12.625" style="4" customWidth="1"/>
    <col min="8" max="8" width="12.625" style="11" customWidth="1"/>
    <col min="9" max="9" width="9.875" style="1" hidden="1" customWidth="1"/>
    <col min="10" max="10" width="14.75" style="1" hidden="1" customWidth="1"/>
    <col min="11" max="11" width="16" style="1" hidden="1" customWidth="1"/>
    <col min="12" max="12" width="16.625" style="1" hidden="1" customWidth="1"/>
    <col min="13" max="13" width="15.75" style="1" hidden="1" customWidth="1"/>
    <col min="14" max="14" width="13.125" style="1" bestFit="1" customWidth="1"/>
    <col min="15" max="15" width="3.75" style="1" customWidth="1"/>
    <col min="16" max="16" width="21.875" style="1" customWidth="1"/>
    <col min="17" max="17" width="17.625" style="1" customWidth="1"/>
    <col min="18" max="16384" width="9" style="1"/>
  </cols>
  <sheetData>
    <row r="1" spans="1:8" ht="18.75">
      <c r="A1" s="325" t="s">
        <v>177</v>
      </c>
      <c r="B1" s="325"/>
      <c r="C1" s="325"/>
      <c r="D1" s="325"/>
      <c r="E1" s="325"/>
      <c r="F1" s="325"/>
      <c r="G1" s="325"/>
      <c r="H1" s="325"/>
    </row>
    <row r="2" spans="1:8">
      <c r="A2" s="314" t="s">
        <v>30</v>
      </c>
      <c r="B2" s="314"/>
      <c r="C2" s="314"/>
      <c r="D2" s="314"/>
      <c r="E2" s="314"/>
      <c r="F2" s="314"/>
      <c r="G2" s="314"/>
      <c r="H2" s="314"/>
    </row>
    <row r="3" spans="1:8" ht="51" customHeight="1">
      <c r="A3" s="318" t="s">
        <v>178</v>
      </c>
      <c r="B3" s="318"/>
      <c r="C3" s="318"/>
      <c r="D3" s="318"/>
      <c r="E3" s="318"/>
      <c r="F3" s="318"/>
      <c r="G3" s="318"/>
      <c r="H3" s="318"/>
    </row>
    <row r="4" spans="1:8" ht="17.100000000000001" customHeight="1">
      <c r="A4" s="318" t="s">
        <v>483</v>
      </c>
      <c r="B4" s="318"/>
      <c r="C4" s="318"/>
      <c r="D4" s="75">
        <v>15</v>
      </c>
      <c r="E4" s="87" t="s">
        <v>118</v>
      </c>
      <c r="F4" s="88"/>
      <c r="G4" s="88"/>
      <c r="H4" s="88"/>
    </row>
    <row r="5" spans="1:8" ht="17.100000000000001" customHeight="1">
      <c r="A5" s="318" t="s">
        <v>133</v>
      </c>
      <c r="B5" s="318"/>
      <c r="C5" s="318"/>
      <c r="D5" s="318"/>
      <c r="E5" s="318"/>
      <c r="F5" s="318"/>
      <c r="G5" s="318"/>
      <c r="H5" s="318"/>
    </row>
    <row r="6" spans="1:8" ht="17.100000000000001" customHeight="1">
      <c r="A6" s="318" t="s">
        <v>134</v>
      </c>
      <c r="B6" s="318"/>
      <c r="C6" s="76"/>
      <c r="D6" s="85"/>
      <c r="E6" s="85"/>
      <c r="F6" s="88"/>
      <c r="G6" s="88"/>
      <c r="H6" s="88"/>
    </row>
    <row r="7" spans="1:8" ht="17.100000000000001" customHeight="1">
      <c r="A7" s="318" t="s">
        <v>179</v>
      </c>
      <c r="B7" s="318"/>
      <c r="C7" s="318"/>
      <c r="D7" s="318"/>
      <c r="E7" s="318"/>
      <c r="F7" s="318"/>
      <c r="G7" s="318"/>
      <c r="H7" s="318"/>
    </row>
    <row r="8" spans="1:8" ht="17.100000000000001" customHeight="1">
      <c r="A8" s="318" t="s">
        <v>180</v>
      </c>
      <c r="B8" s="318"/>
      <c r="C8" s="318"/>
      <c r="D8" s="318"/>
      <c r="E8" s="318"/>
      <c r="F8" s="318"/>
      <c r="G8" s="318"/>
      <c r="H8" s="318"/>
    </row>
    <row r="9" spans="1:8" ht="17.100000000000001" customHeight="1">
      <c r="A9" s="318" t="s">
        <v>181</v>
      </c>
      <c r="B9" s="318"/>
      <c r="C9" s="318"/>
      <c r="D9" s="318"/>
      <c r="E9" s="318"/>
      <c r="F9" s="318"/>
      <c r="G9" s="318"/>
      <c r="H9" s="318"/>
    </row>
    <row r="10" spans="1:8" ht="17.100000000000001" customHeight="1">
      <c r="A10" s="318" t="s">
        <v>182</v>
      </c>
      <c r="B10" s="318"/>
      <c r="C10" s="318"/>
      <c r="D10" s="318"/>
      <c r="E10" s="318"/>
      <c r="F10" s="318"/>
      <c r="G10" s="318"/>
      <c r="H10" s="318"/>
    </row>
    <row r="11" spans="1:8" ht="17.100000000000001" customHeight="1">
      <c r="A11" s="318" t="s">
        <v>226</v>
      </c>
      <c r="B11" s="318"/>
      <c r="C11" s="318"/>
      <c r="D11" s="318"/>
      <c r="E11" s="318"/>
      <c r="F11" s="318"/>
      <c r="G11" s="318"/>
      <c r="H11" s="318"/>
    </row>
    <row r="12" spans="1:8" ht="17.25" customHeight="1">
      <c r="A12" s="318" t="s">
        <v>139</v>
      </c>
      <c r="B12" s="318"/>
      <c r="C12" s="318"/>
      <c r="D12" s="318"/>
      <c r="E12" s="318"/>
      <c r="F12" s="318"/>
      <c r="G12" s="318"/>
      <c r="H12" s="318"/>
    </row>
    <row r="13" spans="1:8">
      <c r="A13" s="314" t="s">
        <v>141</v>
      </c>
      <c r="B13" s="314"/>
      <c r="C13" s="314"/>
      <c r="D13" s="314"/>
      <c r="E13" s="314"/>
    </row>
    <row r="14" spans="1:8" ht="33" customHeight="1">
      <c r="A14" s="343" t="s">
        <v>183</v>
      </c>
      <c r="B14" s="343"/>
      <c r="C14" s="343"/>
      <c r="D14" s="343"/>
      <c r="E14" s="343"/>
      <c r="F14" s="343"/>
      <c r="G14" s="343"/>
      <c r="H14" s="343"/>
    </row>
    <row r="15" spans="1:8">
      <c r="A15" s="318" t="s">
        <v>491</v>
      </c>
      <c r="B15" s="318"/>
      <c r="C15" s="318"/>
      <c r="D15" s="136">
        <v>100</v>
      </c>
      <c r="E15" s="89" t="s">
        <v>184</v>
      </c>
      <c r="F15" s="84"/>
      <c r="G15" s="1"/>
    </row>
    <row r="16" spans="1:8">
      <c r="A16" s="318" t="s">
        <v>492</v>
      </c>
      <c r="B16" s="318"/>
      <c r="C16" s="318"/>
      <c r="D16" s="136">
        <v>2500</v>
      </c>
      <c r="E16" s="89" t="s">
        <v>185</v>
      </c>
      <c r="F16" s="84"/>
      <c r="G16" s="1"/>
    </row>
    <row r="17" spans="1:7" ht="33.75" customHeight="1">
      <c r="A17" s="318" t="s">
        <v>186</v>
      </c>
      <c r="B17" s="318"/>
      <c r="C17" s="318"/>
      <c r="D17" s="5">
        <v>0.4</v>
      </c>
      <c r="E17" s="89" t="s">
        <v>187</v>
      </c>
      <c r="F17" s="111">
        <f>D16*D17</f>
        <v>1000</v>
      </c>
      <c r="G17" s="1" t="s">
        <v>364</v>
      </c>
    </row>
    <row r="18" spans="1:7" ht="16.5" customHeight="1">
      <c r="A18" s="318" t="s">
        <v>510</v>
      </c>
      <c r="B18" s="318"/>
      <c r="C18" s="318"/>
      <c r="D18" s="5">
        <v>0.05</v>
      </c>
      <c r="E18" s="89" t="s">
        <v>47</v>
      </c>
      <c r="F18" s="84"/>
      <c r="G18" s="1"/>
    </row>
    <row r="19" spans="1:7" ht="16.5" customHeight="1">
      <c r="A19" s="318" t="s">
        <v>511</v>
      </c>
      <c r="B19" s="318"/>
      <c r="C19" s="318"/>
      <c r="D19" s="5">
        <v>0.03</v>
      </c>
      <c r="E19" s="288" t="s">
        <v>47</v>
      </c>
      <c r="F19" s="291"/>
      <c r="G19" s="1"/>
    </row>
    <row r="20" spans="1:7">
      <c r="A20" s="318" t="s">
        <v>512</v>
      </c>
      <c r="B20" s="318"/>
      <c r="C20" s="318"/>
      <c r="D20" s="5">
        <v>0</v>
      </c>
      <c r="E20" s="288" t="s">
        <v>47</v>
      </c>
      <c r="F20" s="288" t="s">
        <v>513</v>
      </c>
      <c r="G20" s="1"/>
    </row>
    <row r="21" spans="1:7">
      <c r="A21" s="84" t="s">
        <v>220</v>
      </c>
      <c r="B21" s="84"/>
      <c r="C21" s="134"/>
      <c r="D21" s="84"/>
      <c r="E21" s="84"/>
    </row>
    <row r="22" spans="1:7">
      <c r="A22" s="308" t="s">
        <v>191</v>
      </c>
      <c r="B22" s="308"/>
      <c r="C22" s="308"/>
      <c r="D22" s="5">
        <v>0.5</v>
      </c>
      <c r="E22" s="89" t="s">
        <v>188</v>
      </c>
      <c r="G22" s="137"/>
    </row>
    <row r="23" spans="1:7">
      <c r="A23" s="308" t="s">
        <v>195</v>
      </c>
      <c r="B23" s="308"/>
      <c r="C23" s="308"/>
      <c r="D23" s="136">
        <v>30000</v>
      </c>
      <c r="E23" s="89" t="s">
        <v>193</v>
      </c>
    </row>
    <row r="24" spans="1:7">
      <c r="A24" s="308" t="s">
        <v>190</v>
      </c>
      <c r="B24" s="308"/>
      <c r="C24" s="308"/>
      <c r="D24" s="5">
        <v>0.03</v>
      </c>
      <c r="E24" s="89" t="s">
        <v>47</v>
      </c>
    </row>
    <row r="25" spans="1:7">
      <c r="A25" s="314" t="s">
        <v>221</v>
      </c>
      <c r="B25" s="314"/>
      <c r="C25" s="314"/>
      <c r="D25" s="136"/>
      <c r="E25" s="84"/>
    </row>
    <row r="26" spans="1:7">
      <c r="A26" s="308" t="s">
        <v>192</v>
      </c>
      <c r="B26" s="308"/>
      <c r="C26" s="308"/>
      <c r="D26" s="5">
        <v>0.06</v>
      </c>
      <c r="E26" s="89" t="s">
        <v>188</v>
      </c>
    </row>
    <row r="27" spans="1:7">
      <c r="A27" s="308" t="s">
        <v>189</v>
      </c>
      <c r="B27" s="308"/>
      <c r="C27" s="308"/>
      <c r="D27" s="136">
        <v>60000</v>
      </c>
      <c r="E27" s="89" t="s">
        <v>193</v>
      </c>
    </row>
    <row r="28" spans="1:7">
      <c r="A28" s="308" t="s">
        <v>190</v>
      </c>
      <c r="B28" s="308"/>
      <c r="C28" s="308"/>
      <c r="D28" s="5">
        <v>0.03</v>
      </c>
      <c r="E28" s="89" t="s">
        <v>47</v>
      </c>
    </row>
    <row r="29" spans="1:7">
      <c r="A29" s="314" t="s">
        <v>222</v>
      </c>
      <c r="B29" s="314"/>
      <c r="C29" s="314"/>
      <c r="D29" s="136"/>
      <c r="E29" s="84"/>
    </row>
    <row r="30" spans="1:7">
      <c r="A30" s="308" t="s">
        <v>194</v>
      </c>
      <c r="B30" s="308"/>
      <c r="C30" s="308"/>
      <c r="D30" s="5">
        <v>0.1</v>
      </c>
      <c r="E30" s="89" t="s">
        <v>188</v>
      </c>
    </row>
    <row r="31" spans="1:7">
      <c r="A31" s="308" t="s">
        <v>196</v>
      </c>
      <c r="B31" s="308"/>
      <c r="C31" s="308"/>
      <c r="D31" s="136">
        <v>80000</v>
      </c>
      <c r="E31" s="89" t="s">
        <v>193</v>
      </c>
    </row>
    <row r="32" spans="1:7">
      <c r="A32" s="308" t="s">
        <v>190</v>
      </c>
      <c r="B32" s="308"/>
      <c r="C32" s="308"/>
      <c r="D32" s="5">
        <v>0.03</v>
      </c>
      <c r="E32" s="89" t="s">
        <v>47</v>
      </c>
    </row>
    <row r="33" spans="1:8">
      <c r="A33" s="314" t="s">
        <v>223</v>
      </c>
      <c r="B33" s="314"/>
      <c r="C33" s="314"/>
      <c r="D33" s="136"/>
      <c r="E33" s="84"/>
    </row>
    <row r="34" spans="1:8">
      <c r="A34" s="308" t="s">
        <v>197</v>
      </c>
      <c r="B34" s="308"/>
      <c r="C34" s="308"/>
      <c r="D34" s="5">
        <v>0.1</v>
      </c>
      <c r="E34" s="89" t="s">
        <v>188</v>
      </c>
    </row>
    <row r="35" spans="1:8">
      <c r="A35" s="308" t="s">
        <v>196</v>
      </c>
      <c r="B35" s="308"/>
      <c r="C35" s="308"/>
      <c r="D35" s="136">
        <v>50000</v>
      </c>
      <c r="E35" s="89" t="s">
        <v>193</v>
      </c>
    </row>
    <row r="36" spans="1:8">
      <c r="A36" s="308" t="s">
        <v>190</v>
      </c>
      <c r="B36" s="308"/>
      <c r="C36" s="308"/>
      <c r="D36" s="5">
        <v>0.03</v>
      </c>
      <c r="E36" s="89" t="s">
        <v>47</v>
      </c>
    </row>
    <row r="37" spans="1:8">
      <c r="A37" s="314" t="s">
        <v>224</v>
      </c>
      <c r="B37" s="314"/>
      <c r="C37" s="314"/>
      <c r="D37" s="136"/>
      <c r="E37" s="84"/>
    </row>
    <row r="38" spans="1:8" ht="33.75" customHeight="1">
      <c r="A38" s="318" t="s">
        <v>198</v>
      </c>
      <c r="B38" s="308"/>
      <c r="C38" s="308"/>
      <c r="D38" s="308"/>
      <c r="E38" s="308"/>
      <c r="F38" s="308"/>
      <c r="G38" s="308"/>
      <c r="H38" s="308"/>
    </row>
    <row r="39" spans="1:8">
      <c r="A39" s="308" t="s">
        <v>199</v>
      </c>
      <c r="B39" s="308"/>
      <c r="C39" s="308"/>
      <c r="D39" s="5">
        <v>0.01</v>
      </c>
      <c r="E39" s="89" t="s">
        <v>188</v>
      </c>
    </row>
    <row r="40" spans="1:8">
      <c r="A40" s="308" t="s">
        <v>196</v>
      </c>
      <c r="B40" s="308"/>
      <c r="C40" s="308"/>
      <c r="D40" s="136">
        <v>150000</v>
      </c>
      <c r="E40" s="89" t="s">
        <v>193</v>
      </c>
    </row>
    <row r="41" spans="1:8">
      <c r="A41" s="308" t="s">
        <v>190</v>
      </c>
      <c r="B41" s="308"/>
      <c r="C41" s="308"/>
      <c r="D41" s="5">
        <v>0.03</v>
      </c>
      <c r="E41" s="89" t="s">
        <v>47</v>
      </c>
    </row>
    <row r="42" spans="1:8">
      <c r="A42" s="314" t="s">
        <v>225</v>
      </c>
      <c r="B42" s="314"/>
      <c r="C42" s="314"/>
      <c r="D42" s="136"/>
      <c r="E42" s="84"/>
    </row>
    <row r="43" spans="1:8">
      <c r="A43" s="308" t="s">
        <v>227</v>
      </c>
      <c r="B43" s="308"/>
      <c r="C43" s="308"/>
      <c r="D43" s="5">
        <v>0.65</v>
      </c>
      <c r="E43" s="89" t="s">
        <v>188</v>
      </c>
    </row>
    <row r="44" spans="1:8">
      <c r="A44" s="308" t="s">
        <v>196</v>
      </c>
      <c r="B44" s="308"/>
      <c r="C44" s="308"/>
      <c r="D44" s="136">
        <v>20000</v>
      </c>
      <c r="E44" s="89" t="s">
        <v>193</v>
      </c>
    </row>
    <row r="45" spans="1:8">
      <c r="A45" s="308" t="s">
        <v>190</v>
      </c>
      <c r="B45" s="308"/>
      <c r="C45" s="308"/>
      <c r="D45" s="5">
        <v>0.03</v>
      </c>
      <c r="E45" s="89" t="s">
        <v>47</v>
      </c>
    </row>
    <row r="46" spans="1:8">
      <c r="A46" s="89"/>
      <c r="B46" s="89"/>
      <c r="C46" s="89"/>
      <c r="D46" s="5"/>
      <c r="E46" s="89"/>
    </row>
    <row r="47" spans="1:8">
      <c r="A47" s="314" t="s">
        <v>219</v>
      </c>
      <c r="B47" s="314"/>
      <c r="C47" s="314"/>
      <c r="D47" s="136">
        <v>360</v>
      </c>
      <c r="E47" s="89" t="s">
        <v>28</v>
      </c>
    </row>
    <row r="48" spans="1:8">
      <c r="A48" s="89" t="s">
        <v>200</v>
      </c>
      <c r="B48" s="84"/>
      <c r="C48" s="84"/>
      <c r="D48" s="84"/>
      <c r="E48" s="84"/>
    </row>
    <row r="49" spans="1:14">
      <c r="A49" s="89"/>
      <c r="B49" s="84"/>
      <c r="C49" s="84"/>
      <c r="D49" s="84"/>
      <c r="E49" s="84"/>
      <c r="G49" s="82" t="s">
        <v>60</v>
      </c>
      <c r="H49" s="30" t="s">
        <v>61</v>
      </c>
    </row>
    <row r="50" spans="1:14" ht="18" customHeight="1">
      <c r="A50" s="344" t="s">
        <v>1</v>
      </c>
      <c r="B50" s="346" t="s">
        <v>201</v>
      </c>
      <c r="C50" s="347"/>
      <c r="D50" s="83" t="s">
        <v>33</v>
      </c>
      <c r="E50" s="83" t="s">
        <v>34</v>
      </c>
      <c r="F50" s="83" t="s">
        <v>35</v>
      </c>
      <c r="G50" s="83" t="s">
        <v>36</v>
      </c>
      <c r="H50" s="83" t="s">
        <v>37</v>
      </c>
    </row>
    <row r="51" spans="1:14" ht="18" customHeight="1">
      <c r="A51" s="345"/>
      <c r="B51" s="348"/>
      <c r="C51" s="349"/>
      <c r="D51" s="83">
        <v>1</v>
      </c>
      <c r="E51" s="83">
        <v>2</v>
      </c>
      <c r="F51" s="83">
        <v>3</v>
      </c>
      <c r="G51" s="83">
        <v>4</v>
      </c>
      <c r="H51" s="83">
        <v>5</v>
      </c>
    </row>
    <row r="52" spans="1:14" ht="18" customHeight="1">
      <c r="A52" s="95"/>
      <c r="B52" s="317" t="s">
        <v>493</v>
      </c>
      <c r="C52" s="317"/>
      <c r="D52" s="152">
        <f>$D$15</f>
        <v>100</v>
      </c>
      <c r="E52" s="152">
        <f>D52</f>
        <v>100</v>
      </c>
      <c r="F52" s="152">
        <f t="shared" ref="F52:H52" si="0">E52</f>
        <v>100</v>
      </c>
      <c r="G52" s="152">
        <f t="shared" si="0"/>
        <v>100</v>
      </c>
      <c r="H52" s="152">
        <f t="shared" si="0"/>
        <v>100</v>
      </c>
    </row>
    <row r="53" spans="1:14" ht="18" customHeight="1">
      <c r="A53" s="95"/>
      <c r="B53" s="317" t="s">
        <v>494</v>
      </c>
      <c r="C53" s="317"/>
      <c r="D53" s="152">
        <f>$D$16</f>
        <v>2500</v>
      </c>
      <c r="E53" s="152">
        <f>D53</f>
        <v>2500</v>
      </c>
      <c r="F53" s="152">
        <f t="shared" ref="F53:H53" si="1">E53</f>
        <v>2500</v>
      </c>
      <c r="G53" s="152">
        <f t="shared" si="1"/>
        <v>2500</v>
      </c>
      <c r="H53" s="152">
        <f t="shared" si="1"/>
        <v>2500</v>
      </c>
    </row>
    <row r="54" spans="1:14" ht="18" customHeight="1">
      <c r="A54" s="95"/>
      <c r="B54" s="317" t="s">
        <v>204</v>
      </c>
      <c r="C54" s="317"/>
      <c r="D54" s="144">
        <f>D17</f>
        <v>0.4</v>
      </c>
      <c r="E54" s="144">
        <f>D54+$D$18</f>
        <v>0.45</v>
      </c>
      <c r="F54" s="144">
        <f>E54+$D$18</f>
        <v>0.5</v>
      </c>
      <c r="G54" s="144">
        <f t="shared" ref="G54:H54" si="2">F54+$D$18</f>
        <v>0.55000000000000004</v>
      </c>
      <c r="H54" s="144">
        <f t="shared" si="2"/>
        <v>0.60000000000000009</v>
      </c>
    </row>
    <row r="55" spans="1:14" ht="18" customHeight="1">
      <c r="A55" s="83">
        <v>1</v>
      </c>
      <c r="B55" s="326" t="s">
        <v>205</v>
      </c>
      <c r="C55" s="326"/>
      <c r="D55" s="145"/>
      <c r="E55" s="145"/>
      <c r="F55" s="145"/>
      <c r="G55" s="146"/>
      <c r="H55" s="147"/>
    </row>
    <row r="56" spans="1:14" ht="18" customHeight="1">
      <c r="A56" s="95"/>
      <c r="B56" s="317" t="s">
        <v>206</v>
      </c>
      <c r="C56" s="317"/>
      <c r="D56" s="148">
        <f>D54*D53*$D$22</f>
        <v>500</v>
      </c>
      <c r="E56" s="148">
        <f t="shared" ref="E56:H56" si="3">E54*E53*$D$22</f>
        <v>562.5</v>
      </c>
      <c r="F56" s="148">
        <f t="shared" si="3"/>
        <v>625</v>
      </c>
      <c r="G56" s="148">
        <f t="shared" si="3"/>
        <v>687.5</v>
      </c>
      <c r="H56" s="148">
        <f t="shared" si="3"/>
        <v>750.00000000000011</v>
      </c>
    </row>
    <row r="57" spans="1:14" ht="18" customHeight="1">
      <c r="A57" s="95"/>
      <c r="B57" s="317" t="s">
        <v>207</v>
      </c>
      <c r="C57" s="317"/>
      <c r="D57" s="377">
        <v>0</v>
      </c>
      <c r="E57" s="377">
        <f>D24</f>
        <v>0.03</v>
      </c>
      <c r="F57" s="377">
        <f>E57</f>
        <v>0.03</v>
      </c>
      <c r="G57" s="377">
        <f t="shared" ref="G57:H57" si="4">F57</f>
        <v>0.03</v>
      </c>
      <c r="H57" s="377">
        <f t="shared" si="4"/>
        <v>0.03</v>
      </c>
      <c r="I57" s="142">
        <f t="shared" ref="G57:M57" si="5">H57+$D$24</f>
        <v>0.06</v>
      </c>
      <c r="J57" s="142">
        <f t="shared" si="5"/>
        <v>0.09</v>
      </c>
      <c r="K57" s="142">
        <f t="shared" si="5"/>
        <v>0.12</v>
      </c>
      <c r="L57" s="142">
        <f t="shared" si="5"/>
        <v>0.15</v>
      </c>
      <c r="M57" s="142">
        <f t="shared" si="5"/>
        <v>0.18</v>
      </c>
    </row>
    <row r="58" spans="1:14" ht="18" customHeight="1">
      <c r="A58" s="95"/>
      <c r="B58" s="317" t="s">
        <v>208</v>
      </c>
      <c r="C58" s="317"/>
      <c r="D58" s="148">
        <f>D23/1000</f>
        <v>30</v>
      </c>
      <c r="E58" s="148">
        <f>D58*(1+E57)</f>
        <v>30.900000000000002</v>
      </c>
      <c r="F58" s="148">
        <f t="shared" ref="F58:H58" si="6">E58*(1+F57)</f>
        <v>31.827000000000002</v>
      </c>
      <c r="G58" s="148">
        <f t="shared" si="6"/>
        <v>32.78181</v>
      </c>
      <c r="H58" s="148">
        <f t="shared" si="6"/>
        <v>33.765264299999998</v>
      </c>
    </row>
    <row r="59" spans="1:14" ht="18" customHeight="1">
      <c r="A59" s="95"/>
      <c r="B59" s="317" t="s">
        <v>218</v>
      </c>
      <c r="C59" s="317"/>
      <c r="D59" s="23">
        <f>D58*D56*$D$47</f>
        <v>5400000</v>
      </c>
      <c r="E59" s="23">
        <f t="shared" ref="E59:H59" si="7">E58*E56*$D$47</f>
        <v>6257250</v>
      </c>
      <c r="F59" s="23">
        <f t="shared" si="7"/>
        <v>7161075</v>
      </c>
      <c r="G59" s="23">
        <f t="shared" si="7"/>
        <v>8113497.9749999996</v>
      </c>
      <c r="H59" s="23">
        <f t="shared" si="7"/>
        <v>9116621.3610000014</v>
      </c>
      <c r="N59" s="10"/>
    </row>
    <row r="60" spans="1:14" ht="18" customHeight="1">
      <c r="A60" s="83">
        <v>2</v>
      </c>
      <c r="B60" s="326" t="s">
        <v>209</v>
      </c>
      <c r="C60" s="326"/>
      <c r="D60" s="140"/>
      <c r="E60" s="140"/>
      <c r="F60" s="140"/>
      <c r="G60" s="139"/>
      <c r="H60" s="141"/>
    </row>
    <row r="61" spans="1:14" ht="18" customHeight="1">
      <c r="A61" s="95"/>
      <c r="B61" s="317" t="s">
        <v>206</v>
      </c>
      <c r="C61" s="317"/>
      <c r="D61" s="150">
        <f>D53*D54*$D$26</f>
        <v>60</v>
      </c>
      <c r="E61" s="150">
        <f t="shared" ref="E61:H61" si="8">E53*E54*$D$26</f>
        <v>67.5</v>
      </c>
      <c r="F61" s="150">
        <f t="shared" si="8"/>
        <v>75</v>
      </c>
      <c r="G61" s="150">
        <f t="shared" si="8"/>
        <v>82.5</v>
      </c>
      <c r="H61" s="150">
        <f t="shared" si="8"/>
        <v>90.000000000000014</v>
      </c>
      <c r="N61" s="10"/>
    </row>
    <row r="62" spans="1:14" ht="18" customHeight="1">
      <c r="A62" s="95"/>
      <c r="B62" s="317" t="s">
        <v>207</v>
      </c>
      <c r="C62" s="317"/>
      <c r="D62" s="377">
        <v>0</v>
      </c>
      <c r="E62" s="377">
        <f>D28</f>
        <v>0.03</v>
      </c>
      <c r="F62" s="377">
        <f>E62</f>
        <v>0.03</v>
      </c>
      <c r="G62" s="377">
        <f t="shared" ref="G62:H62" si="9">F62</f>
        <v>0.03</v>
      </c>
      <c r="H62" s="377">
        <f t="shared" si="9"/>
        <v>0.03</v>
      </c>
      <c r="N62" s="10"/>
    </row>
    <row r="63" spans="1:14" ht="18" customHeight="1">
      <c r="A63" s="95"/>
      <c r="B63" s="317" t="s">
        <v>211</v>
      </c>
      <c r="C63" s="317"/>
      <c r="D63" s="149">
        <f>D27/1000</f>
        <v>60</v>
      </c>
      <c r="E63" s="148">
        <f>D63*(1+E62)</f>
        <v>61.800000000000004</v>
      </c>
      <c r="F63" s="148">
        <f t="shared" ref="F63:H63" si="10">E63*(1+F62)</f>
        <v>63.654000000000003</v>
      </c>
      <c r="G63" s="148">
        <f t="shared" si="10"/>
        <v>65.56362</v>
      </c>
      <c r="H63" s="148">
        <f t="shared" si="10"/>
        <v>67.530528599999997</v>
      </c>
    </row>
    <row r="64" spans="1:14" ht="18" customHeight="1">
      <c r="A64" s="95"/>
      <c r="B64" s="317" t="s">
        <v>218</v>
      </c>
      <c r="C64" s="317"/>
      <c r="D64" s="23">
        <f>D61*D63*$D$47</f>
        <v>1296000</v>
      </c>
      <c r="E64" s="23">
        <f t="shared" ref="E64:H64" si="11">E61*E63*$D$47</f>
        <v>1501740</v>
      </c>
      <c r="F64" s="23">
        <f t="shared" si="11"/>
        <v>1718658</v>
      </c>
      <c r="G64" s="23">
        <f t="shared" si="11"/>
        <v>1947239.5140000002</v>
      </c>
      <c r="H64" s="23">
        <f t="shared" si="11"/>
        <v>2187989.1266400004</v>
      </c>
    </row>
    <row r="65" spans="1:8" ht="18" customHeight="1">
      <c r="A65" s="83">
        <v>3</v>
      </c>
      <c r="B65" s="326" t="s">
        <v>212</v>
      </c>
      <c r="C65" s="326"/>
      <c r="D65" s="23"/>
      <c r="E65" s="23"/>
      <c r="F65" s="23"/>
      <c r="G65" s="23"/>
      <c r="H65" s="23"/>
    </row>
    <row r="66" spans="1:8" ht="18" customHeight="1">
      <c r="A66" s="95"/>
      <c r="B66" s="317" t="s">
        <v>213</v>
      </c>
      <c r="C66" s="317"/>
      <c r="D66" s="148">
        <f>D53*D54*$D$30</f>
        <v>100</v>
      </c>
      <c r="E66" s="148">
        <f t="shared" ref="E66:H66" si="12">E53*E54*$D$30</f>
        <v>112.5</v>
      </c>
      <c r="F66" s="148">
        <f t="shared" si="12"/>
        <v>125</v>
      </c>
      <c r="G66" s="148">
        <f t="shared" si="12"/>
        <v>137.5</v>
      </c>
      <c r="H66" s="148">
        <f t="shared" si="12"/>
        <v>150.00000000000003</v>
      </c>
    </row>
    <row r="67" spans="1:8" ht="18" customHeight="1">
      <c r="A67" s="95"/>
      <c r="B67" s="317" t="s">
        <v>210</v>
      </c>
      <c r="C67" s="317"/>
      <c r="D67" s="377">
        <v>0</v>
      </c>
      <c r="E67" s="377">
        <f>D32</f>
        <v>0.03</v>
      </c>
      <c r="F67" s="377">
        <f>E67</f>
        <v>0.03</v>
      </c>
      <c r="G67" s="377">
        <f t="shared" ref="G67:H67" si="13">F67</f>
        <v>0.03</v>
      </c>
      <c r="H67" s="377">
        <f t="shared" si="13"/>
        <v>0.03</v>
      </c>
    </row>
    <row r="68" spans="1:8" ht="18" customHeight="1">
      <c r="A68" s="95"/>
      <c r="B68" s="317" t="s">
        <v>211</v>
      </c>
      <c r="C68" s="317"/>
      <c r="D68" s="149">
        <f>D31/1000</f>
        <v>80</v>
      </c>
      <c r="E68" s="148">
        <f>D68*(1+E67)</f>
        <v>82.4</v>
      </c>
      <c r="F68" s="148">
        <f t="shared" ref="F68:H68" si="14">E68*(1+F67)</f>
        <v>84.872000000000014</v>
      </c>
      <c r="G68" s="148">
        <f t="shared" si="14"/>
        <v>87.418160000000015</v>
      </c>
      <c r="H68" s="148">
        <f t="shared" si="14"/>
        <v>90.040704800000015</v>
      </c>
    </row>
    <row r="69" spans="1:8" ht="18" customHeight="1">
      <c r="A69" s="95"/>
      <c r="B69" s="317" t="s">
        <v>218</v>
      </c>
      <c r="C69" s="317"/>
      <c r="D69" s="23">
        <f>D66*D68*$D$47</f>
        <v>2880000</v>
      </c>
      <c r="E69" s="23">
        <f t="shared" ref="E69" si="15">E66*E68*$D$47</f>
        <v>3337200</v>
      </c>
      <c r="F69" s="23">
        <f t="shared" ref="F69" si="16">F66*F68*$D$47</f>
        <v>3819240.0000000005</v>
      </c>
      <c r="G69" s="23">
        <f t="shared" ref="G69" si="17">G66*G68*$D$47</f>
        <v>4327198.9200000009</v>
      </c>
      <c r="H69" s="23">
        <f t="shared" ref="H69" si="18">H66*H68*$D$47</f>
        <v>4862198.0592000019</v>
      </c>
    </row>
    <row r="70" spans="1:8" ht="18" customHeight="1">
      <c r="A70" s="83">
        <v>4</v>
      </c>
      <c r="B70" s="326" t="s">
        <v>214</v>
      </c>
      <c r="C70" s="326"/>
      <c r="D70" s="140"/>
      <c r="E70" s="140"/>
      <c r="F70" s="140"/>
      <c r="G70" s="139"/>
      <c r="H70" s="141"/>
    </row>
    <row r="71" spans="1:8" ht="18" customHeight="1">
      <c r="A71" s="95"/>
      <c r="B71" s="317" t="s">
        <v>213</v>
      </c>
      <c r="C71" s="317"/>
      <c r="D71" s="148">
        <f>D53*D54*$D$34</f>
        <v>100</v>
      </c>
      <c r="E71" s="148">
        <f t="shared" ref="E71:H71" si="19">E53*E54*$D$34</f>
        <v>112.5</v>
      </c>
      <c r="F71" s="148">
        <f t="shared" si="19"/>
        <v>125</v>
      </c>
      <c r="G71" s="148">
        <f t="shared" si="19"/>
        <v>137.5</v>
      </c>
      <c r="H71" s="148">
        <f t="shared" si="19"/>
        <v>150.00000000000003</v>
      </c>
    </row>
    <row r="72" spans="1:8" ht="18" customHeight="1">
      <c r="A72" s="95"/>
      <c r="B72" s="317" t="s">
        <v>210</v>
      </c>
      <c r="C72" s="317"/>
      <c r="D72" s="377">
        <v>0</v>
      </c>
      <c r="E72" s="377">
        <f>D36</f>
        <v>0.03</v>
      </c>
      <c r="F72" s="377">
        <f>E72</f>
        <v>0.03</v>
      </c>
      <c r="G72" s="377">
        <f t="shared" ref="G72:H72" si="20">F72</f>
        <v>0.03</v>
      </c>
      <c r="H72" s="377">
        <f t="shared" si="20"/>
        <v>0.03</v>
      </c>
    </row>
    <row r="73" spans="1:8" ht="18" customHeight="1">
      <c r="A73" s="92"/>
      <c r="B73" s="317" t="s">
        <v>211</v>
      </c>
      <c r="C73" s="317"/>
      <c r="D73" s="149">
        <f>D35/1000</f>
        <v>50</v>
      </c>
      <c r="E73" s="148">
        <f>D73*(1+E72)</f>
        <v>51.5</v>
      </c>
      <c r="F73" s="148">
        <f t="shared" ref="F73:H73" si="21">E73*(1+F72)</f>
        <v>53.045000000000002</v>
      </c>
      <c r="G73" s="148">
        <f t="shared" si="21"/>
        <v>54.63635</v>
      </c>
      <c r="H73" s="148">
        <f t="shared" si="21"/>
        <v>56.275440500000002</v>
      </c>
    </row>
    <row r="74" spans="1:8" ht="18" customHeight="1">
      <c r="A74" s="92"/>
      <c r="B74" s="317" t="s">
        <v>218</v>
      </c>
      <c r="C74" s="317"/>
      <c r="D74" s="23">
        <f>D71*D73*$D$47</f>
        <v>1800000</v>
      </c>
      <c r="E74" s="23">
        <f t="shared" ref="E74" si="22">E71*E73*$D$47</f>
        <v>2085750</v>
      </c>
      <c r="F74" s="23">
        <f t="shared" ref="F74" si="23">F71*F73*$D$47</f>
        <v>2387025</v>
      </c>
      <c r="G74" s="23">
        <f t="shared" ref="G74" si="24">G71*G73*$D$47</f>
        <v>2704499.3250000002</v>
      </c>
      <c r="H74" s="23">
        <f t="shared" ref="H74" si="25">H71*H73*$D$47</f>
        <v>3038873.7870000009</v>
      </c>
    </row>
    <row r="75" spans="1:8" ht="18" customHeight="1">
      <c r="A75" s="83">
        <v>5</v>
      </c>
      <c r="B75" s="326" t="s">
        <v>215</v>
      </c>
      <c r="C75" s="326"/>
      <c r="D75" s="140"/>
      <c r="E75" s="140"/>
      <c r="F75" s="140"/>
      <c r="G75" s="139"/>
      <c r="H75" s="141"/>
    </row>
    <row r="76" spans="1:8" ht="18" customHeight="1">
      <c r="A76" s="92"/>
      <c r="B76" s="317" t="s">
        <v>216</v>
      </c>
      <c r="C76" s="317"/>
      <c r="D76" s="148">
        <f>D53*D54*$D$39</f>
        <v>10</v>
      </c>
      <c r="E76" s="148">
        <f t="shared" ref="E76:H76" si="26">E53*E54*$D$39</f>
        <v>11.25</v>
      </c>
      <c r="F76" s="148">
        <f t="shared" si="26"/>
        <v>12.5</v>
      </c>
      <c r="G76" s="148">
        <f t="shared" si="26"/>
        <v>13.75</v>
      </c>
      <c r="H76" s="148">
        <f t="shared" si="26"/>
        <v>15.000000000000002</v>
      </c>
    </row>
    <row r="77" spans="1:8" ht="18" customHeight="1">
      <c r="A77" s="92"/>
      <c r="B77" s="317" t="s">
        <v>210</v>
      </c>
      <c r="C77" s="317"/>
      <c r="D77" s="377">
        <v>0</v>
      </c>
      <c r="E77" s="377">
        <f>D41</f>
        <v>0.03</v>
      </c>
      <c r="F77" s="377">
        <f>E77</f>
        <v>0.03</v>
      </c>
      <c r="G77" s="377">
        <f t="shared" ref="G77:H77" si="27">F77</f>
        <v>0.03</v>
      </c>
      <c r="H77" s="377">
        <f t="shared" si="27"/>
        <v>0.03</v>
      </c>
    </row>
    <row r="78" spans="1:8" ht="18" customHeight="1">
      <c r="A78" s="92"/>
      <c r="B78" s="317" t="s">
        <v>211</v>
      </c>
      <c r="C78" s="317"/>
      <c r="D78" s="149">
        <f>D40/1000</f>
        <v>150</v>
      </c>
      <c r="E78" s="148">
        <f>D78*(1+E77)</f>
        <v>154.5</v>
      </c>
      <c r="F78" s="148">
        <f t="shared" ref="F78:H78" si="28">E78*(1+F77)</f>
        <v>159.13499999999999</v>
      </c>
      <c r="G78" s="148">
        <f t="shared" si="28"/>
        <v>163.90905000000001</v>
      </c>
      <c r="H78" s="148">
        <f t="shared" si="28"/>
        <v>168.82632150000001</v>
      </c>
    </row>
    <row r="79" spans="1:8" ht="18" customHeight="1">
      <c r="A79" s="92"/>
      <c r="B79" s="317" t="s">
        <v>218</v>
      </c>
      <c r="C79" s="317"/>
      <c r="D79" s="23">
        <f>D76*D78*$D$47</f>
        <v>540000</v>
      </c>
      <c r="E79" s="23">
        <f t="shared" ref="E79" si="29">E76*E78*$D$47</f>
        <v>625725</v>
      </c>
      <c r="F79" s="23">
        <f t="shared" ref="F79" si="30">F76*F78*$D$47</f>
        <v>716107.5</v>
      </c>
      <c r="G79" s="23">
        <f t="shared" ref="G79" si="31">G76*G78*$D$47</f>
        <v>811349.79749999999</v>
      </c>
      <c r="H79" s="23">
        <f t="shared" ref="H79" si="32">H76*H78*$D$47</f>
        <v>911662.13610000012</v>
      </c>
    </row>
    <row r="80" spans="1:8" ht="18" customHeight="1">
      <c r="A80" s="83">
        <v>6</v>
      </c>
      <c r="B80" s="326" t="s">
        <v>151</v>
      </c>
      <c r="C80" s="326"/>
      <c r="D80" s="140"/>
      <c r="E80" s="140"/>
      <c r="F80" s="140"/>
      <c r="G80" s="139"/>
      <c r="H80" s="141"/>
    </row>
    <row r="81" spans="1:8" ht="18" customHeight="1">
      <c r="A81" s="92"/>
      <c r="B81" s="317" t="s">
        <v>213</v>
      </c>
      <c r="C81" s="317"/>
      <c r="D81" s="154">
        <f>D53*D54*$D$43</f>
        <v>650</v>
      </c>
      <c r="E81" s="154">
        <f t="shared" ref="E81:H81" si="33">E53*E54*$D$43</f>
        <v>731.25</v>
      </c>
      <c r="F81" s="154">
        <f t="shared" si="33"/>
        <v>812.5</v>
      </c>
      <c r="G81" s="154">
        <f t="shared" si="33"/>
        <v>893.75</v>
      </c>
      <c r="H81" s="154">
        <f t="shared" si="33"/>
        <v>975.00000000000023</v>
      </c>
    </row>
    <row r="82" spans="1:8" ht="18" customHeight="1">
      <c r="A82" s="92"/>
      <c r="B82" s="317" t="s">
        <v>210</v>
      </c>
      <c r="C82" s="317"/>
      <c r="D82" s="377">
        <v>0</v>
      </c>
      <c r="E82" s="377">
        <f>D45</f>
        <v>0.03</v>
      </c>
      <c r="F82" s="377">
        <f>E82</f>
        <v>0.03</v>
      </c>
      <c r="G82" s="377">
        <f t="shared" ref="G82:H82" si="34">F82</f>
        <v>0.03</v>
      </c>
      <c r="H82" s="377">
        <f t="shared" si="34"/>
        <v>0.03</v>
      </c>
    </row>
    <row r="83" spans="1:8" ht="18" customHeight="1">
      <c r="A83" s="92"/>
      <c r="B83" s="317" t="s">
        <v>211</v>
      </c>
      <c r="C83" s="317"/>
      <c r="D83" s="149">
        <f>D44/1000</f>
        <v>20</v>
      </c>
      <c r="E83" s="148">
        <f>D83*(1+E82)</f>
        <v>20.6</v>
      </c>
      <c r="F83" s="148">
        <f t="shared" ref="F83:H83" si="35">E83*(1+F82)</f>
        <v>21.218000000000004</v>
      </c>
      <c r="G83" s="148">
        <f t="shared" si="35"/>
        <v>21.854540000000004</v>
      </c>
      <c r="H83" s="148">
        <f t="shared" si="35"/>
        <v>22.510176200000004</v>
      </c>
    </row>
    <row r="84" spans="1:8" ht="18" customHeight="1">
      <c r="A84" s="92"/>
      <c r="B84" s="317" t="s">
        <v>218</v>
      </c>
      <c r="C84" s="317"/>
      <c r="D84" s="23">
        <f>D81*D83*$D$47</f>
        <v>4680000</v>
      </c>
      <c r="E84" s="23">
        <f t="shared" ref="E84" si="36">E81*E83*$D$47</f>
        <v>5422950.0000000009</v>
      </c>
      <c r="F84" s="23">
        <f t="shared" ref="F84" si="37">F81*F83*$D$47</f>
        <v>6206265.0000000009</v>
      </c>
      <c r="G84" s="23">
        <f t="shared" ref="G84" si="38">G81*G83*$D$47</f>
        <v>7031698.245000002</v>
      </c>
      <c r="H84" s="23">
        <f t="shared" ref="H84" si="39">H81*H83*$D$47</f>
        <v>7901071.8462000033</v>
      </c>
    </row>
    <row r="85" spans="1:8" ht="18" customHeight="1">
      <c r="A85" s="92"/>
      <c r="B85" s="316" t="s">
        <v>217</v>
      </c>
      <c r="C85" s="316"/>
      <c r="D85" s="151">
        <f>D59+D64+D69+D74+D79+D84</f>
        <v>16596000</v>
      </c>
      <c r="E85" s="151">
        <f t="shared" ref="E85:H85" si="40">E59+E64+E69+E74+E79+E84</f>
        <v>19230615</v>
      </c>
      <c r="F85" s="151">
        <f t="shared" si="40"/>
        <v>22008370.5</v>
      </c>
      <c r="G85" s="151">
        <f t="shared" si="40"/>
        <v>24935483.776500002</v>
      </c>
      <c r="H85" s="151">
        <f t="shared" si="40"/>
        <v>28018416.316140011</v>
      </c>
    </row>
    <row r="86" spans="1:8">
      <c r="A86" s="89"/>
      <c r="B86" s="89"/>
      <c r="C86" s="89"/>
      <c r="D86" s="84"/>
      <c r="E86" s="84"/>
    </row>
    <row r="87" spans="1:8">
      <c r="A87" s="89"/>
      <c r="B87" s="84"/>
      <c r="C87" s="84"/>
      <c r="D87" s="84"/>
      <c r="E87" s="84"/>
      <c r="G87" s="82" t="s">
        <v>60</v>
      </c>
      <c r="H87" s="30" t="s">
        <v>61</v>
      </c>
    </row>
    <row r="88" spans="1:8">
      <c r="A88" s="344" t="s">
        <v>1</v>
      </c>
      <c r="B88" s="346" t="s">
        <v>201</v>
      </c>
      <c r="C88" s="347"/>
      <c r="D88" s="83" t="s">
        <v>50</v>
      </c>
      <c r="E88" s="83" t="s">
        <v>51</v>
      </c>
      <c r="F88" s="83" t="s">
        <v>52</v>
      </c>
      <c r="G88" s="83" t="s">
        <v>53</v>
      </c>
      <c r="H88" s="83" t="s">
        <v>54</v>
      </c>
    </row>
    <row r="89" spans="1:8">
      <c r="A89" s="345"/>
      <c r="B89" s="348"/>
      <c r="C89" s="349"/>
      <c r="D89" s="83">
        <v>6</v>
      </c>
      <c r="E89" s="83">
        <v>7</v>
      </c>
      <c r="F89" s="83">
        <v>8</v>
      </c>
      <c r="G89" s="83">
        <v>9</v>
      </c>
      <c r="H89" s="83">
        <v>10</v>
      </c>
    </row>
    <row r="90" spans="1:8">
      <c r="A90" s="95"/>
      <c r="B90" s="317" t="s">
        <v>202</v>
      </c>
      <c r="C90" s="317"/>
      <c r="D90" s="152">
        <f>$D$15</f>
        <v>100</v>
      </c>
      <c r="E90" s="152">
        <f>D90</f>
        <v>100</v>
      </c>
      <c r="F90" s="152">
        <f t="shared" ref="F90:H90" si="41">E90</f>
        <v>100</v>
      </c>
      <c r="G90" s="152">
        <f t="shared" si="41"/>
        <v>100</v>
      </c>
      <c r="H90" s="152">
        <f t="shared" si="41"/>
        <v>100</v>
      </c>
    </row>
    <row r="91" spans="1:8">
      <c r="A91" s="95"/>
      <c r="B91" s="317" t="s">
        <v>203</v>
      </c>
      <c r="C91" s="317"/>
      <c r="D91" s="152">
        <f>$D$16</f>
        <v>2500</v>
      </c>
      <c r="E91" s="152">
        <f>D91</f>
        <v>2500</v>
      </c>
      <c r="F91" s="152">
        <f t="shared" ref="F91:H91" si="42">E91</f>
        <v>2500</v>
      </c>
      <c r="G91" s="152">
        <f t="shared" si="42"/>
        <v>2500</v>
      </c>
      <c r="H91" s="152">
        <f t="shared" si="42"/>
        <v>2500</v>
      </c>
    </row>
    <row r="92" spans="1:8">
      <c r="A92" s="95"/>
      <c r="B92" s="317" t="s">
        <v>204</v>
      </c>
      <c r="C92" s="317"/>
      <c r="D92" s="144">
        <f>H54+$D$19</f>
        <v>0.63000000000000012</v>
      </c>
      <c r="E92" s="144">
        <f>D92+$D$19</f>
        <v>0.66000000000000014</v>
      </c>
      <c r="F92" s="144">
        <f t="shared" ref="F92:H92" si="43">E92+$D$19</f>
        <v>0.69000000000000017</v>
      </c>
      <c r="G92" s="144">
        <f>F92+$D$19</f>
        <v>0.7200000000000002</v>
      </c>
      <c r="H92" s="144">
        <f>G92+$D$19</f>
        <v>0.75000000000000022</v>
      </c>
    </row>
    <row r="93" spans="1:8">
      <c r="A93" s="83">
        <v>1</v>
      </c>
      <c r="B93" s="326" t="s">
        <v>205</v>
      </c>
      <c r="C93" s="326"/>
      <c r="D93" s="145"/>
      <c r="E93" s="145"/>
      <c r="F93" s="145"/>
      <c r="G93" s="146"/>
      <c r="H93" s="147"/>
    </row>
    <row r="94" spans="1:8">
      <c r="A94" s="95"/>
      <c r="B94" s="317" t="s">
        <v>206</v>
      </c>
      <c r="C94" s="317"/>
      <c r="D94" s="153">
        <f>D92*D91*$D$22</f>
        <v>787.50000000000011</v>
      </c>
      <c r="E94" s="153">
        <f t="shared" ref="E94:H94" si="44">E92*E91*$D$22</f>
        <v>825.00000000000023</v>
      </c>
      <c r="F94" s="153">
        <f t="shared" si="44"/>
        <v>862.50000000000023</v>
      </c>
      <c r="G94" s="153">
        <f t="shared" si="44"/>
        <v>900.00000000000023</v>
      </c>
      <c r="H94" s="153">
        <f t="shared" si="44"/>
        <v>937.50000000000023</v>
      </c>
    </row>
    <row r="95" spans="1:8">
      <c r="A95" s="95"/>
      <c r="B95" s="317" t="s">
        <v>207</v>
      </c>
      <c r="C95" s="317"/>
      <c r="D95" s="377">
        <f>H57</f>
        <v>0.03</v>
      </c>
      <c r="E95" s="377">
        <f>D95</f>
        <v>0.03</v>
      </c>
      <c r="F95" s="377">
        <f t="shared" ref="F95:H95" si="45">E95</f>
        <v>0.03</v>
      </c>
      <c r="G95" s="377">
        <f t="shared" si="45"/>
        <v>0.03</v>
      </c>
      <c r="H95" s="377">
        <f t="shared" si="45"/>
        <v>0.03</v>
      </c>
    </row>
    <row r="96" spans="1:8">
      <c r="A96" s="95"/>
      <c r="B96" s="317" t="s">
        <v>208</v>
      </c>
      <c r="C96" s="317"/>
      <c r="D96" s="148">
        <f>H58*(1+D95)</f>
        <v>34.778222229000001</v>
      </c>
      <c r="E96" s="148">
        <f>D96*(1+E95)</f>
        <v>35.821568895870001</v>
      </c>
      <c r="F96" s="148">
        <f t="shared" ref="F96:H96" si="46">E96*(1+F95)</f>
        <v>36.896215962746105</v>
      </c>
      <c r="G96" s="148">
        <f t="shared" si="46"/>
        <v>38.003102441628492</v>
      </c>
      <c r="H96" s="148">
        <f t="shared" si="46"/>
        <v>39.143195514877348</v>
      </c>
    </row>
    <row r="97" spans="1:8">
      <c r="A97" s="95"/>
      <c r="B97" s="317" t="s">
        <v>218</v>
      </c>
      <c r="C97" s="317"/>
      <c r="D97" s="23">
        <f>D96*D94*$D$47</f>
        <v>9859626.001921501</v>
      </c>
      <c r="E97" s="23">
        <f t="shared" ref="E97" si="47">E96*E94*$D$47</f>
        <v>10639005.962073393</v>
      </c>
      <c r="F97" s="23">
        <f t="shared" ref="F97" si="48">F96*F94*$D$47</f>
        <v>11456275.056432668</v>
      </c>
      <c r="G97" s="23">
        <f t="shared" ref="G97" si="49">G96*G94*$D$47</f>
        <v>12313005.191087633</v>
      </c>
      <c r="H97" s="23">
        <f t="shared" ref="H97" si="50">H96*H94*$D$47</f>
        <v>13210828.486271108</v>
      </c>
    </row>
    <row r="98" spans="1:8">
      <c r="A98" s="83">
        <v>2</v>
      </c>
      <c r="B98" s="326" t="s">
        <v>209</v>
      </c>
      <c r="C98" s="326"/>
      <c r="D98" s="140"/>
      <c r="E98" s="140"/>
      <c r="F98" s="140"/>
      <c r="G98" s="139"/>
      <c r="H98" s="141"/>
    </row>
    <row r="99" spans="1:8">
      <c r="A99" s="95"/>
      <c r="B99" s="317" t="s">
        <v>206</v>
      </c>
      <c r="C99" s="317"/>
      <c r="D99" s="150">
        <f>D91*D92*$D$26</f>
        <v>94.500000000000014</v>
      </c>
      <c r="E99" s="150">
        <f t="shared" ref="E99:H99" si="51">E91*E92*$D$26</f>
        <v>99.000000000000028</v>
      </c>
      <c r="F99" s="150">
        <f t="shared" si="51"/>
        <v>103.50000000000003</v>
      </c>
      <c r="G99" s="150">
        <f t="shared" si="51"/>
        <v>108.00000000000003</v>
      </c>
      <c r="H99" s="150">
        <f t="shared" si="51"/>
        <v>112.50000000000003</v>
      </c>
    </row>
    <row r="100" spans="1:8">
      <c r="A100" s="95"/>
      <c r="B100" s="317" t="s">
        <v>207</v>
      </c>
      <c r="C100" s="317"/>
      <c r="D100" s="377">
        <f>H62</f>
        <v>0.03</v>
      </c>
      <c r="E100" s="377">
        <f>D100</f>
        <v>0.03</v>
      </c>
      <c r="F100" s="377">
        <f t="shared" ref="F100:H100" si="52">E100</f>
        <v>0.03</v>
      </c>
      <c r="G100" s="377">
        <f t="shared" si="52"/>
        <v>0.03</v>
      </c>
      <c r="H100" s="377">
        <f t="shared" si="52"/>
        <v>0.03</v>
      </c>
    </row>
    <row r="101" spans="1:8">
      <c r="A101" s="95"/>
      <c r="B101" s="317" t="s">
        <v>211</v>
      </c>
      <c r="C101" s="317"/>
      <c r="D101" s="148">
        <f>H63*(1+D100)</f>
        <v>69.556444458000001</v>
      </c>
      <c r="E101" s="148">
        <f>D101*(1+E100)</f>
        <v>71.643137791740003</v>
      </c>
      <c r="F101" s="148">
        <f t="shared" ref="F101:H101" si="53">E101*(1+F100)</f>
        <v>73.79243192549221</v>
      </c>
      <c r="G101" s="148">
        <f t="shared" si="53"/>
        <v>76.006204883256984</v>
      </c>
      <c r="H101" s="148">
        <f t="shared" si="53"/>
        <v>78.286391029754697</v>
      </c>
    </row>
    <row r="102" spans="1:8">
      <c r="A102" s="95"/>
      <c r="B102" s="317" t="s">
        <v>218</v>
      </c>
      <c r="C102" s="317"/>
      <c r="D102" s="23">
        <f>D99*D101*$D$47</f>
        <v>2366310.2404611604</v>
      </c>
      <c r="E102" s="23">
        <f t="shared" ref="E102" si="54">E99*E101*$D$47</f>
        <v>2553361.4308976145</v>
      </c>
      <c r="F102" s="23">
        <f t="shared" ref="F102" si="55">F99*F101*$D$47</f>
        <v>2749506.0135438405</v>
      </c>
      <c r="G102" s="23">
        <f t="shared" ref="G102" si="56">G99*G101*$D$47</f>
        <v>2955121.2458610325</v>
      </c>
      <c r="H102" s="23">
        <f t="shared" ref="H102" si="57">H99*H101*$D$47</f>
        <v>3170598.8367050658</v>
      </c>
    </row>
    <row r="103" spans="1:8">
      <c r="A103" s="83">
        <v>3</v>
      </c>
      <c r="B103" s="326" t="s">
        <v>212</v>
      </c>
      <c r="C103" s="326"/>
      <c r="D103" s="23"/>
      <c r="E103" s="23"/>
      <c r="F103" s="23"/>
      <c r="G103" s="23"/>
      <c r="H103" s="23"/>
    </row>
    <row r="104" spans="1:8">
      <c r="A104" s="95"/>
      <c r="B104" s="317" t="s">
        <v>213</v>
      </c>
      <c r="C104" s="317"/>
      <c r="D104" s="148">
        <f>D91*D92*$D$30</f>
        <v>157.50000000000003</v>
      </c>
      <c r="E104" s="148">
        <f t="shared" ref="E104:H104" si="58">E91*E92*$D$30</f>
        <v>165.00000000000006</v>
      </c>
      <c r="F104" s="148">
        <f t="shared" si="58"/>
        <v>172.50000000000006</v>
      </c>
      <c r="G104" s="148">
        <f t="shared" si="58"/>
        <v>180.00000000000006</v>
      </c>
      <c r="H104" s="148">
        <f t="shared" si="58"/>
        <v>187.50000000000006</v>
      </c>
    </row>
    <row r="105" spans="1:8">
      <c r="A105" s="95"/>
      <c r="B105" s="317" t="s">
        <v>210</v>
      </c>
      <c r="C105" s="317"/>
      <c r="D105" s="377">
        <f>H67</f>
        <v>0.03</v>
      </c>
      <c r="E105" s="377">
        <f>D105+$D$32</f>
        <v>0.06</v>
      </c>
      <c r="F105" s="377">
        <f t="shared" ref="F105:H105" si="59">E105+$D$32</f>
        <v>0.09</v>
      </c>
      <c r="G105" s="377">
        <f t="shared" si="59"/>
        <v>0.12</v>
      </c>
      <c r="H105" s="377">
        <f t="shared" si="59"/>
        <v>0.15</v>
      </c>
    </row>
    <row r="106" spans="1:8">
      <c r="A106" s="95"/>
      <c r="B106" s="317" t="s">
        <v>211</v>
      </c>
      <c r="C106" s="317"/>
      <c r="D106" s="148">
        <f>H68*(1+D105)</f>
        <v>92.741925944000016</v>
      </c>
      <c r="E106" s="148">
        <f>D106*(1+E105)</f>
        <v>98.30644150064002</v>
      </c>
      <c r="F106" s="148">
        <f t="shared" ref="F106" si="60">E106*(1+F105)</f>
        <v>107.15402123569763</v>
      </c>
      <c r="G106" s="148">
        <f t="shared" ref="G106" si="61">F106*(1+G105)</f>
        <v>120.01250378398136</v>
      </c>
      <c r="H106" s="148">
        <f t="shared" ref="H106" si="62">G106*(1+H105)</f>
        <v>138.01437935157855</v>
      </c>
    </row>
    <row r="107" spans="1:8">
      <c r="A107" s="95"/>
      <c r="B107" s="317" t="s">
        <v>218</v>
      </c>
      <c r="C107" s="317"/>
      <c r="D107" s="23">
        <f>D104*D106*$D$47</f>
        <v>5258467.2010248024</v>
      </c>
      <c r="E107" s="23">
        <f t="shared" ref="E107" si="63">E104*E106*$D$47</f>
        <v>5839402.6251380192</v>
      </c>
      <c r="F107" s="23">
        <f t="shared" ref="F107" si="64">F104*F106*$D$47</f>
        <v>6654264.7187368246</v>
      </c>
      <c r="G107" s="23">
        <f t="shared" ref="G107" si="65">G104*G106*$D$47</f>
        <v>7776810.2452019956</v>
      </c>
      <c r="H107" s="23">
        <f t="shared" ref="H107" si="66">H104*H106*$D$47</f>
        <v>9315970.6062315553</v>
      </c>
    </row>
    <row r="108" spans="1:8">
      <c r="A108" s="83">
        <v>4</v>
      </c>
      <c r="B108" s="326" t="s">
        <v>214</v>
      </c>
      <c r="C108" s="326"/>
      <c r="D108" s="140"/>
      <c r="E108" s="140"/>
      <c r="F108" s="140"/>
      <c r="G108" s="139"/>
      <c r="H108" s="141"/>
    </row>
    <row r="109" spans="1:8">
      <c r="A109" s="95"/>
      <c r="B109" s="317" t="s">
        <v>213</v>
      </c>
      <c r="C109" s="317"/>
      <c r="D109" s="148">
        <f>D91*D92*$D$34</f>
        <v>157.50000000000003</v>
      </c>
      <c r="E109" s="148">
        <f t="shared" ref="E109:H109" si="67">E91*E92*$D$34</f>
        <v>165.00000000000006</v>
      </c>
      <c r="F109" s="148">
        <f t="shared" si="67"/>
        <v>172.50000000000006</v>
      </c>
      <c r="G109" s="148">
        <f t="shared" si="67"/>
        <v>180.00000000000006</v>
      </c>
      <c r="H109" s="148">
        <f t="shared" si="67"/>
        <v>187.50000000000006</v>
      </c>
    </row>
    <row r="110" spans="1:8">
      <c r="A110" s="95"/>
      <c r="B110" s="317" t="s">
        <v>210</v>
      </c>
      <c r="C110" s="317"/>
      <c r="D110" s="377">
        <f>H72</f>
        <v>0.03</v>
      </c>
      <c r="E110" s="377">
        <f>D110</f>
        <v>0.03</v>
      </c>
      <c r="F110" s="377">
        <f t="shared" ref="F110:H110" si="68">E110</f>
        <v>0.03</v>
      </c>
      <c r="G110" s="377">
        <f t="shared" si="68"/>
        <v>0.03</v>
      </c>
      <c r="H110" s="377">
        <f t="shared" si="68"/>
        <v>0.03</v>
      </c>
    </row>
    <row r="111" spans="1:8">
      <c r="A111" s="92"/>
      <c r="B111" s="317" t="s">
        <v>211</v>
      </c>
      <c r="C111" s="317"/>
      <c r="D111" s="148">
        <f>H73*(1+D110)</f>
        <v>57.963703715000001</v>
      </c>
      <c r="E111" s="148">
        <f>D111*(1+E110)</f>
        <v>59.702614826450002</v>
      </c>
      <c r="F111" s="148">
        <f t="shared" ref="F111" si="69">E111*(1+F110)</f>
        <v>61.493693271243501</v>
      </c>
      <c r="G111" s="148">
        <f t="shared" ref="G111" si="70">F111*(1+G110)</f>
        <v>63.338504069380811</v>
      </c>
      <c r="H111" s="148">
        <f t="shared" ref="H111" si="71">G111*(1+H110)</f>
        <v>65.238659191462233</v>
      </c>
    </row>
    <row r="112" spans="1:8">
      <c r="A112" s="92"/>
      <c r="B112" s="317" t="s">
        <v>218</v>
      </c>
      <c r="C112" s="317"/>
      <c r="D112" s="23">
        <f>D109*D111*$D$47</f>
        <v>3286542.0006405003</v>
      </c>
      <c r="E112" s="23">
        <f t="shared" ref="E112" si="72">E109*E111*$D$47</f>
        <v>3546335.3206911311</v>
      </c>
      <c r="F112" s="23">
        <f t="shared" ref="F112" si="73">F109*F111*$D$47</f>
        <v>3818758.3521442227</v>
      </c>
      <c r="G112" s="23">
        <f t="shared" ref="G112" si="74">G109*G111*$D$47</f>
        <v>4104335.0636958783</v>
      </c>
      <c r="H112" s="23">
        <f t="shared" ref="H112" si="75">H109*H111*$D$47</f>
        <v>4403609.4954237016</v>
      </c>
    </row>
    <row r="113" spans="1:8">
      <c r="A113" s="83">
        <v>5</v>
      </c>
      <c r="B113" s="326" t="s">
        <v>215</v>
      </c>
      <c r="C113" s="326"/>
      <c r="D113" s="140"/>
      <c r="E113" s="140"/>
      <c r="F113" s="140"/>
      <c r="G113" s="139"/>
      <c r="H113" s="141"/>
    </row>
    <row r="114" spans="1:8">
      <c r="A114" s="92"/>
      <c r="B114" s="317" t="s">
        <v>216</v>
      </c>
      <c r="C114" s="317"/>
      <c r="D114" s="148">
        <f>D91*D92*$D$39</f>
        <v>15.750000000000002</v>
      </c>
      <c r="E114" s="148">
        <f t="shared" ref="E114:H114" si="76">E91*E92*$D$39</f>
        <v>16.500000000000004</v>
      </c>
      <c r="F114" s="148">
        <f t="shared" si="76"/>
        <v>17.250000000000004</v>
      </c>
      <c r="G114" s="148">
        <f t="shared" si="76"/>
        <v>18.000000000000004</v>
      </c>
      <c r="H114" s="148">
        <f t="shared" si="76"/>
        <v>18.750000000000004</v>
      </c>
    </row>
    <row r="115" spans="1:8">
      <c r="A115" s="92"/>
      <c r="B115" s="317" t="s">
        <v>210</v>
      </c>
      <c r="C115" s="317"/>
      <c r="D115" s="377">
        <f>H77</f>
        <v>0.03</v>
      </c>
      <c r="E115" s="377">
        <f>D115</f>
        <v>0.03</v>
      </c>
      <c r="F115" s="377">
        <f t="shared" ref="F115:H115" si="77">E115</f>
        <v>0.03</v>
      </c>
      <c r="G115" s="377">
        <f t="shared" si="77"/>
        <v>0.03</v>
      </c>
      <c r="H115" s="377">
        <f t="shared" si="77"/>
        <v>0.03</v>
      </c>
    </row>
    <row r="116" spans="1:8">
      <c r="A116" s="92"/>
      <c r="B116" s="317" t="s">
        <v>211</v>
      </c>
      <c r="C116" s="317"/>
      <c r="D116" s="148">
        <f>H78*(1+D115)</f>
        <v>173.891111145</v>
      </c>
      <c r="E116" s="148">
        <f>D116*(1+E115)</f>
        <v>179.10784447935001</v>
      </c>
      <c r="F116" s="148">
        <f t="shared" ref="F116" si="78">E116*(1+F115)</f>
        <v>184.4810798137305</v>
      </c>
      <c r="G116" s="148">
        <f t="shared" ref="G116" si="79">F116*(1+G115)</f>
        <v>190.01551220814241</v>
      </c>
      <c r="H116" s="148">
        <f t="shared" ref="H116" si="80">G116*(1+H115)</f>
        <v>195.7159775743867</v>
      </c>
    </row>
    <row r="117" spans="1:8">
      <c r="A117" s="92"/>
      <c r="B117" s="317" t="s">
        <v>218</v>
      </c>
      <c r="C117" s="317"/>
      <c r="D117" s="23">
        <f>D114*D116*$D$47</f>
        <v>985962.60019215022</v>
      </c>
      <c r="E117" s="23">
        <f t="shared" ref="E117" si="81">E114*E116*$D$47</f>
        <v>1063900.5962073393</v>
      </c>
      <c r="F117" s="23">
        <f t="shared" ref="F117" si="82">F114*F116*$D$47</f>
        <v>1145627.5056432667</v>
      </c>
      <c r="G117" s="23">
        <f t="shared" ref="G117" si="83">G114*G116*$D$47</f>
        <v>1231300.5191087632</v>
      </c>
      <c r="H117" s="23">
        <f t="shared" ref="H117" si="84">H114*H116*$D$47</f>
        <v>1321082.8486271105</v>
      </c>
    </row>
    <row r="118" spans="1:8">
      <c r="A118" s="83">
        <v>6</v>
      </c>
      <c r="B118" s="326" t="s">
        <v>151</v>
      </c>
      <c r="C118" s="326"/>
      <c r="D118" s="140"/>
      <c r="E118" s="140"/>
      <c r="F118" s="140"/>
      <c r="G118" s="139"/>
      <c r="H118" s="141"/>
    </row>
    <row r="119" spans="1:8">
      <c r="A119" s="92"/>
      <c r="B119" s="317" t="s">
        <v>213</v>
      </c>
      <c r="C119" s="317"/>
      <c r="D119" s="154">
        <f>D91*D92*$D$43</f>
        <v>1023.7500000000002</v>
      </c>
      <c r="E119" s="154">
        <f t="shared" ref="E119:H119" si="85">E91*E92*$D$43</f>
        <v>1072.5000000000002</v>
      </c>
      <c r="F119" s="154">
        <f t="shared" si="85"/>
        <v>1121.2500000000002</v>
      </c>
      <c r="G119" s="154">
        <f t="shared" si="85"/>
        <v>1170.0000000000002</v>
      </c>
      <c r="H119" s="154">
        <f t="shared" si="85"/>
        <v>1218.7500000000002</v>
      </c>
    </row>
    <row r="120" spans="1:8">
      <c r="A120" s="92"/>
      <c r="B120" s="317" t="s">
        <v>210</v>
      </c>
      <c r="C120" s="317"/>
      <c r="D120" s="377">
        <f>H82</f>
        <v>0.03</v>
      </c>
      <c r="E120" s="377">
        <f>D120</f>
        <v>0.03</v>
      </c>
      <c r="F120" s="377">
        <f t="shared" ref="F120:H120" si="86">E120</f>
        <v>0.03</v>
      </c>
      <c r="G120" s="377">
        <f t="shared" si="86"/>
        <v>0.03</v>
      </c>
      <c r="H120" s="377">
        <f t="shared" si="86"/>
        <v>0.03</v>
      </c>
    </row>
    <row r="121" spans="1:8">
      <c r="A121" s="92"/>
      <c r="B121" s="317" t="s">
        <v>211</v>
      </c>
      <c r="C121" s="317"/>
      <c r="D121" s="148">
        <f>H83*(1+D120)</f>
        <v>23.185481486000004</v>
      </c>
      <c r="E121" s="148">
        <f>D121*(1+E120)</f>
        <v>23.881045930580004</v>
      </c>
      <c r="F121" s="148">
        <f t="shared" ref="F121" si="87">E121*(1+F120)</f>
        <v>24.597477308497407</v>
      </c>
      <c r="G121" s="148">
        <f t="shared" ref="G121" si="88">F121*(1+G120)</f>
        <v>25.335401627752329</v>
      </c>
      <c r="H121" s="148">
        <f t="shared" ref="H121" si="89">G121*(1+H120)</f>
        <v>26.095463676584899</v>
      </c>
    </row>
    <row r="122" spans="1:8">
      <c r="A122" s="92"/>
      <c r="B122" s="317" t="s">
        <v>218</v>
      </c>
      <c r="C122" s="317"/>
      <c r="D122" s="23">
        <f>D119*D121*$D$47</f>
        <v>8545009.2016653027</v>
      </c>
      <c r="E122" s="23">
        <f t="shared" ref="E122" si="90">E119*E121*$D$47</f>
        <v>9220471.8337969407</v>
      </c>
      <c r="F122" s="23">
        <f t="shared" ref="F122" si="91">F119*F121*$D$47</f>
        <v>9928771.7155749798</v>
      </c>
      <c r="G122" s="23">
        <f t="shared" ref="G122" si="92">G119*G121*$D$47</f>
        <v>10671271.165609283</v>
      </c>
      <c r="H122" s="23">
        <f t="shared" ref="H122" si="93">H119*H121*$D$47</f>
        <v>11449384.688101625</v>
      </c>
    </row>
    <row r="123" spans="1:8">
      <c r="A123" s="92"/>
      <c r="B123" s="316" t="s">
        <v>217</v>
      </c>
      <c r="C123" s="316"/>
      <c r="D123" s="151">
        <f>D97+D102+D107+D112+D117+D122</f>
        <v>30301917.245905414</v>
      </c>
      <c r="E123" s="151">
        <f t="shared" ref="E123:H123" si="94">E97+E102+E107+E112+E117+E122</f>
        <v>32862477.768804438</v>
      </c>
      <c r="F123" s="151">
        <f t="shared" si="94"/>
        <v>35753203.362075806</v>
      </c>
      <c r="G123" s="151">
        <f t="shared" si="94"/>
        <v>39051843.43056459</v>
      </c>
      <c r="H123" s="151">
        <f t="shared" si="94"/>
        <v>42871474.961360164</v>
      </c>
    </row>
    <row r="124" spans="1:8">
      <c r="A124" s="89"/>
      <c r="B124" s="89"/>
      <c r="C124" s="89"/>
      <c r="D124" s="84"/>
      <c r="E124" s="84"/>
    </row>
    <row r="125" spans="1:8">
      <c r="A125" s="89"/>
      <c r="B125" s="84"/>
      <c r="C125" s="84"/>
      <c r="D125" s="84"/>
      <c r="E125" s="84"/>
      <c r="G125" s="82" t="s">
        <v>60</v>
      </c>
      <c r="H125" s="30" t="s">
        <v>61</v>
      </c>
    </row>
    <row r="126" spans="1:8">
      <c r="A126" s="344" t="s">
        <v>1</v>
      </c>
      <c r="B126" s="346" t="s">
        <v>201</v>
      </c>
      <c r="C126" s="347"/>
      <c r="D126" s="83" t="s">
        <v>55</v>
      </c>
      <c r="E126" s="83" t="s">
        <v>56</v>
      </c>
      <c r="F126" s="83" t="s">
        <v>57</v>
      </c>
      <c r="G126" s="83" t="s">
        <v>58</v>
      </c>
      <c r="H126" s="83" t="s">
        <v>59</v>
      </c>
    </row>
    <row r="127" spans="1:8">
      <c r="A127" s="345"/>
      <c r="B127" s="348"/>
      <c r="C127" s="349"/>
      <c r="D127" s="83">
        <v>11</v>
      </c>
      <c r="E127" s="83">
        <v>12</v>
      </c>
      <c r="F127" s="83">
        <v>13</v>
      </c>
      <c r="G127" s="83">
        <v>14</v>
      </c>
      <c r="H127" s="83">
        <v>15</v>
      </c>
    </row>
    <row r="128" spans="1:8">
      <c r="A128" s="95"/>
      <c r="B128" s="317" t="s">
        <v>202</v>
      </c>
      <c r="C128" s="317"/>
      <c r="D128" s="152">
        <f>$D$15</f>
        <v>100</v>
      </c>
      <c r="E128" s="152">
        <f>D128</f>
        <v>100</v>
      </c>
      <c r="F128" s="152">
        <f t="shared" ref="F128:H128" si="95">E128</f>
        <v>100</v>
      </c>
      <c r="G128" s="152">
        <f t="shared" si="95"/>
        <v>100</v>
      </c>
      <c r="H128" s="152">
        <f t="shared" si="95"/>
        <v>100</v>
      </c>
    </row>
    <row r="129" spans="1:8">
      <c r="A129" s="95"/>
      <c r="B129" s="317" t="s">
        <v>203</v>
      </c>
      <c r="C129" s="317"/>
      <c r="D129" s="152">
        <f>$D$16</f>
        <v>2500</v>
      </c>
      <c r="E129" s="152">
        <f>D129</f>
        <v>2500</v>
      </c>
      <c r="F129" s="152">
        <f t="shared" ref="F129:H129" si="96">E129</f>
        <v>2500</v>
      </c>
      <c r="G129" s="152">
        <f t="shared" si="96"/>
        <v>2500</v>
      </c>
      <c r="H129" s="152">
        <f t="shared" si="96"/>
        <v>2500</v>
      </c>
    </row>
    <row r="130" spans="1:8">
      <c r="A130" s="95"/>
      <c r="B130" s="317" t="s">
        <v>204</v>
      </c>
      <c r="C130" s="317"/>
      <c r="D130" s="144">
        <f>H92+$D$20</f>
        <v>0.75000000000000022</v>
      </c>
      <c r="E130" s="144">
        <f>D130+$D$20</f>
        <v>0.75000000000000022</v>
      </c>
      <c r="F130" s="144">
        <f t="shared" ref="F130:H130" si="97">E130+$D$20</f>
        <v>0.75000000000000022</v>
      </c>
      <c r="G130" s="144">
        <f t="shared" si="97"/>
        <v>0.75000000000000022</v>
      </c>
      <c r="H130" s="144">
        <f t="shared" si="97"/>
        <v>0.75000000000000022</v>
      </c>
    </row>
    <row r="131" spans="1:8">
      <c r="A131" s="83">
        <v>1</v>
      </c>
      <c r="B131" s="326" t="s">
        <v>205</v>
      </c>
      <c r="C131" s="326"/>
      <c r="D131" s="145"/>
      <c r="E131" s="145"/>
      <c r="F131" s="145"/>
      <c r="G131" s="146"/>
      <c r="H131" s="147"/>
    </row>
    <row r="132" spans="1:8">
      <c r="A132" s="95"/>
      <c r="B132" s="317" t="s">
        <v>206</v>
      </c>
      <c r="C132" s="317"/>
      <c r="D132" s="153">
        <f>D130*D129*$D$22</f>
        <v>937.50000000000023</v>
      </c>
      <c r="E132" s="153">
        <f t="shared" ref="E132:H132" si="98">E130*E129*$D$22</f>
        <v>937.50000000000023</v>
      </c>
      <c r="F132" s="153">
        <f t="shared" si="98"/>
        <v>937.50000000000023</v>
      </c>
      <c r="G132" s="153">
        <f t="shared" si="98"/>
        <v>937.50000000000023</v>
      </c>
      <c r="H132" s="153">
        <f t="shared" si="98"/>
        <v>937.50000000000023</v>
      </c>
    </row>
    <row r="133" spans="1:8">
      <c r="A133" s="95"/>
      <c r="B133" s="317" t="s">
        <v>207</v>
      </c>
      <c r="C133" s="317"/>
      <c r="D133" s="377">
        <f>H95</f>
        <v>0.03</v>
      </c>
      <c r="E133" s="377">
        <f>D133</f>
        <v>0.03</v>
      </c>
      <c r="F133" s="377">
        <f t="shared" ref="F133:H133" si="99">E133</f>
        <v>0.03</v>
      </c>
      <c r="G133" s="377">
        <f t="shared" si="99"/>
        <v>0.03</v>
      </c>
      <c r="H133" s="377">
        <f t="shared" si="99"/>
        <v>0.03</v>
      </c>
    </row>
    <row r="134" spans="1:8">
      <c r="A134" s="95"/>
      <c r="B134" s="317" t="s">
        <v>208</v>
      </c>
      <c r="C134" s="317"/>
      <c r="D134" s="148">
        <f>H96*(1+D133)</f>
        <v>40.317491380323666</v>
      </c>
      <c r="E134" s="148">
        <f>D134*(1+E133)</f>
        <v>41.527016121733375</v>
      </c>
      <c r="F134" s="148">
        <f t="shared" ref="F134" si="100">E134*(1+F133)</f>
        <v>42.772826605385376</v>
      </c>
      <c r="G134" s="148">
        <f t="shared" ref="G134" si="101">F134*(1+G133)</f>
        <v>44.05601140354694</v>
      </c>
      <c r="H134" s="148">
        <f t="shared" ref="H134" si="102">G134*(1+H133)</f>
        <v>45.377691745653351</v>
      </c>
    </row>
    <row r="135" spans="1:8">
      <c r="A135" s="95"/>
      <c r="B135" s="317" t="s">
        <v>218</v>
      </c>
      <c r="C135" s="317"/>
      <c r="D135" s="23">
        <f>D134*D132*$D$47</f>
        <v>13607153.340859242</v>
      </c>
      <c r="E135" s="23">
        <f t="shared" ref="E135:H135" si="103">E134*E132*$D$47</f>
        <v>14015367.941085016</v>
      </c>
      <c r="F135" s="23">
        <f t="shared" si="103"/>
        <v>14435828.979317568</v>
      </c>
      <c r="G135" s="23">
        <f t="shared" si="103"/>
        <v>14868903.848697094</v>
      </c>
      <c r="H135" s="23">
        <f t="shared" si="103"/>
        <v>15314970.96415801</v>
      </c>
    </row>
    <row r="136" spans="1:8">
      <c r="A136" s="83">
        <v>2</v>
      </c>
      <c r="B136" s="326" t="s">
        <v>209</v>
      </c>
      <c r="C136" s="326"/>
      <c r="D136" s="140"/>
      <c r="E136" s="140"/>
      <c r="F136" s="140"/>
      <c r="G136" s="139"/>
      <c r="H136" s="141"/>
    </row>
    <row r="137" spans="1:8">
      <c r="A137" s="95"/>
      <c r="B137" s="317" t="s">
        <v>206</v>
      </c>
      <c r="C137" s="317"/>
      <c r="D137" s="150">
        <f>D129*D130*$D$26</f>
        <v>112.50000000000003</v>
      </c>
      <c r="E137" s="150">
        <f t="shared" ref="E137:H137" si="104">E129*E130*$D$26</f>
        <v>112.50000000000003</v>
      </c>
      <c r="F137" s="150">
        <f t="shared" si="104"/>
        <v>112.50000000000003</v>
      </c>
      <c r="G137" s="150">
        <f t="shared" si="104"/>
        <v>112.50000000000003</v>
      </c>
      <c r="H137" s="150">
        <f t="shared" si="104"/>
        <v>112.50000000000003</v>
      </c>
    </row>
    <row r="138" spans="1:8">
      <c r="A138" s="95"/>
      <c r="B138" s="317" t="s">
        <v>207</v>
      </c>
      <c r="C138" s="317"/>
      <c r="D138" s="377">
        <f>H100</f>
        <v>0.03</v>
      </c>
      <c r="E138" s="377">
        <f>D138</f>
        <v>0.03</v>
      </c>
      <c r="F138" s="377">
        <f t="shared" ref="F138:H138" si="105">E138</f>
        <v>0.03</v>
      </c>
      <c r="G138" s="377">
        <f t="shared" si="105"/>
        <v>0.03</v>
      </c>
      <c r="H138" s="377">
        <f t="shared" si="105"/>
        <v>0.03</v>
      </c>
    </row>
    <row r="139" spans="1:8">
      <c r="A139" s="95"/>
      <c r="B139" s="317" t="s">
        <v>211</v>
      </c>
      <c r="C139" s="317"/>
      <c r="D139" s="148">
        <f>H101*(1+D138)</f>
        <v>80.634982760647333</v>
      </c>
      <c r="E139" s="148">
        <f>D139*(1+E138)</f>
        <v>83.05403224346675</v>
      </c>
      <c r="F139" s="148">
        <f t="shared" ref="F139" si="106">E139*(1+F138)</f>
        <v>85.545653210770752</v>
      </c>
      <c r="G139" s="148">
        <f t="shared" ref="G139" si="107">F139*(1+G138)</f>
        <v>88.112022807093879</v>
      </c>
      <c r="H139" s="148">
        <f t="shared" ref="H139" si="108">G139*(1+H138)</f>
        <v>90.755383491306702</v>
      </c>
    </row>
    <row r="140" spans="1:8">
      <c r="A140" s="95"/>
      <c r="B140" s="317" t="s">
        <v>218</v>
      </c>
      <c r="C140" s="317"/>
      <c r="D140" s="23">
        <f>D137*D139*$D$47</f>
        <v>3265716.8018062175</v>
      </c>
      <c r="E140" s="23">
        <f t="shared" ref="E140:H140" si="109">E137*E139*$D$47</f>
        <v>3363688.3058604044</v>
      </c>
      <c r="F140" s="23">
        <f t="shared" si="109"/>
        <v>3464598.9550362159</v>
      </c>
      <c r="G140" s="23">
        <f t="shared" si="109"/>
        <v>3568536.9236873034</v>
      </c>
      <c r="H140" s="23">
        <f t="shared" si="109"/>
        <v>3675593.0313979224</v>
      </c>
    </row>
    <row r="141" spans="1:8">
      <c r="A141" s="83">
        <v>3</v>
      </c>
      <c r="B141" s="326" t="s">
        <v>212</v>
      </c>
      <c r="C141" s="326"/>
      <c r="D141" s="23"/>
      <c r="E141" s="23"/>
      <c r="F141" s="23"/>
      <c r="G141" s="23"/>
      <c r="H141" s="23"/>
    </row>
    <row r="142" spans="1:8">
      <c r="A142" s="95"/>
      <c r="B142" s="317" t="s">
        <v>213</v>
      </c>
      <c r="C142" s="317"/>
      <c r="D142" s="148">
        <f>D129*D130*$D$30</f>
        <v>187.50000000000006</v>
      </c>
      <c r="E142" s="148">
        <f t="shared" ref="E142:H142" si="110">E129*E130*$D$30</f>
        <v>187.50000000000006</v>
      </c>
      <c r="F142" s="148">
        <f t="shared" si="110"/>
        <v>187.50000000000006</v>
      </c>
      <c r="G142" s="148">
        <f t="shared" si="110"/>
        <v>187.50000000000006</v>
      </c>
      <c r="H142" s="148">
        <f t="shared" si="110"/>
        <v>187.50000000000006</v>
      </c>
    </row>
    <row r="143" spans="1:8">
      <c r="A143" s="95"/>
      <c r="B143" s="317" t="s">
        <v>210</v>
      </c>
      <c r="C143" s="317"/>
      <c r="D143" s="377">
        <f>H105</f>
        <v>0.15</v>
      </c>
      <c r="E143" s="377">
        <f>D143+$D$32</f>
        <v>0.18</v>
      </c>
      <c r="F143" s="377">
        <f t="shared" ref="F143" si="111">E143+$D$32</f>
        <v>0.21</v>
      </c>
      <c r="G143" s="377">
        <f t="shared" ref="G143" si="112">F143+$D$32</f>
        <v>0.24</v>
      </c>
      <c r="H143" s="377">
        <f t="shared" ref="H143" si="113">G143+$D$32</f>
        <v>0.27</v>
      </c>
    </row>
    <row r="144" spans="1:8">
      <c r="A144" s="95"/>
      <c r="B144" s="317" t="s">
        <v>211</v>
      </c>
      <c r="C144" s="317"/>
      <c r="D144" s="148">
        <f>H106*(1+D143)</f>
        <v>158.71653625431532</v>
      </c>
      <c r="E144" s="148">
        <f>D144*(1+E143)</f>
        <v>187.28551278009206</v>
      </c>
      <c r="F144" s="148">
        <f t="shared" ref="F144" si="114">E144*(1+F143)</f>
        <v>226.61547046391138</v>
      </c>
      <c r="G144" s="148">
        <f t="shared" ref="G144" si="115">F144*(1+G143)</f>
        <v>281.0031833752501</v>
      </c>
      <c r="H144" s="148">
        <f t="shared" ref="H144" si="116">G144*(1+H143)</f>
        <v>356.87404288656762</v>
      </c>
    </row>
    <row r="145" spans="1:8">
      <c r="A145" s="95"/>
      <c r="B145" s="317" t="s">
        <v>218</v>
      </c>
      <c r="C145" s="317"/>
      <c r="D145" s="23">
        <f>D142*D144*$D$47</f>
        <v>10713366.197166286</v>
      </c>
      <c r="E145" s="23">
        <f t="shared" ref="E145:H145" si="117">E142*E144*$D$47</f>
        <v>12641772.112656217</v>
      </c>
      <c r="F145" s="23">
        <f t="shared" si="117"/>
        <v>15296544.256314024</v>
      </c>
      <c r="G145" s="23">
        <f t="shared" si="117"/>
        <v>18967714.877829388</v>
      </c>
      <c r="H145" s="23">
        <f t="shared" si="117"/>
        <v>24088997.894843325</v>
      </c>
    </row>
    <row r="146" spans="1:8">
      <c r="A146" s="83">
        <v>4</v>
      </c>
      <c r="B146" s="326" t="s">
        <v>214</v>
      </c>
      <c r="C146" s="326"/>
      <c r="D146" s="140"/>
      <c r="E146" s="140"/>
      <c r="F146" s="140"/>
      <c r="G146" s="139"/>
      <c r="H146" s="141"/>
    </row>
    <row r="147" spans="1:8">
      <c r="A147" s="95"/>
      <c r="B147" s="317" t="s">
        <v>213</v>
      </c>
      <c r="C147" s="317"/>
      <c r="D147" s="148">
        <f>D129*D130*$D$34</f>
        <v>187.50000000000006</v>
      </c>
      <c r="E147" s="148">
        <f t="shared" ref="E147:H147" si="118">E129*E130*$D$34</f>
        <v>187.50000000000006</v>
      </c>
      <c r="F147" s="148">
        <f t="shared" si="118"/>
        <v>187.50000000000006</v>
      </c>
      <c r="G147" s="148">
        <f t="shared" si="118"/>
        <v>187.50000000000006</v>
      </c>
      <c r="H147" s="148">
        <f t="shared" si="118"/>
        <v>187.50000000000006</v>
      </c>
    </row>
    <row r="148" spans="1:8">
      <c r="A148" s="95"/>
      <c r="B148" s="317" t="s">
        <v>210</v>
      </c>
      <c r="C148" s="317"/>
      <c r="D148" s="377">
        <f>H110</f>
        <v>0.03</v>
      </c>
      <c r="E148" s="377">
        <f>D148</f>
        <v>0.03</v>
      </c>
      <c r="F148" s="377">
        <f t="shared" ref="F148:H148" si="119">E148</f>
        <v>0.03</v>
      </c>
      <c r="G148" s="377">
        <f t="shared" si="119"/>
        <v>0.03</v>
      </c>
      <c r="H148" s="377">
        <f t="shared" si="119"/>
        <v>0.03</v>
      </c>
    </row>
    <row r="149" spans="1:8">
      <c r="A149" s="92"/>
      <c r="B149" s="317" t="s">
        <v>211</v>
      </c>
      <c r="C149" s="317"/>
      <c r="D149" s="148">
        <f>H111*(1+D148)</f>
        <v>67.195818967206108</v>
      </c>
      <c r="E149" s="148">
        <f>D149*(1+E148)</f>
        <v>69.211693536222299</v>
      </c>
      <c r="F149" s="148">
        <f t="shared" ref="F149" si="120">E149*(1+F148)</f>
        <v>71.288044342308964</v>
      </c>
      <c r="G149" s="148">
        <f t="shared" ref="G149" si="121">F149*(1+G148)</f>
        <v>73.42668567257823</v>
      </c>
      <c r="H149" s="148">
        <f t="shared" ref="H149" si="122">G149*(1+H148)</f>
        <v>75.629486242755576</v>
      </c>
    </row>
    <row r="150" spans="1:8">
      <c r="A150" s="92"/>
      <c r="B150" s="317" t="s">
        <v>218</v>
      </c>
      <c r="C150" s="317"/>
      <c r="D150" s="23">
        <f>D147*D149*$D$47</f>
        <v>4535717.7802864136</v>
      </c>
      <c r="E150" s="23">
        <f t="shared" ref="E150:H150" si="123">E147*E149*$D$47</f>
        <v>4671789.313695007</v>
      </c>
      <c r="F150" s="23">
        <f t="shared" si="123"/>
        <v>4811942.9931058567</v>
      </c>
      <c r="G150" s="23">
        <f t="shared" si="123"/>
        <v>4956301.2828990323</v>
      </c>
      <c r="H150" s="23">
        <f t="shared" si="123"/>
        <v>5104990.3213860029</v>
      </c>
    </row>
    <row r="151" spans="1:8">
      <c r="A151" s="83">
        <v>5</v>
      </c>
      <c r="B151" s="326" t="s">
        <v>215</v>
      </c>
      <c r="C151" s="326"/>
      <c r="D151" s="140"/>
      <c r="E151" s="140"/>
      <c r="F151" s="140"/>
      <c r="G151" s="139"/>
      <c r="H151" s="141"/>
    </row>
    <row r="152" spans="1:8">
      <c r="A152" s="92"/>
      <c r="B152" s="317" t="s">
        <v>216</v>
      </c>
      <c r="C152" s="317"/>
      <c r="D152" s="148">
        <f>D129*D130*$D$39</f>
        <v>18.750000000000004</v>
      </c>
      <c r="E152" s="148">
        <f t="shared" ref="E152:H152" si="124">E129*E130*$D$39</f>
        <v>18.750000000000004</v>
      </c>
      <c r="F152" s="148">
        <f t="shared" si="124"/>
        <v>18.750000000000004</v>
      </c>
      <c r="G152" s="148">
        <f t="shared" si="124"/>
        <v>18.750000000000004</v>
      </c>
      <c r="H152" s="148">
        <f t="shared" si="124"/>
        <v>18.750000000000004</v>
      </c>
    </row>
    <row r="153" spans="1:8">
      <c r="A153" s="92"/>
      <c r="B153" s="317" t="s">
        <v>210</v>
      </c>
      <c r="C153" s="317"/>
      <c r="D153" s="377">
        <f>H115</f>
        <v>0.03</v>
      </c>
      <c r="E153" s="377">
        <f>D153</f>
        <v>0.03</v>
      </c>
      <c r="F153" s="377">
        <f t="shared" ref="F153:H153" si="125">E153</f>
        <v>0.03</v>
      </c>
      <c r="G153" s="377">
        <f t="shared" si="125"/>
        <v>0.03</v>
      </c>
      <c r="H153" s="377">
        <f t="shared" si="125"/>
        <v>0.03</v>
      </c>
    </row>
    <row r="154" spans="1:8">
      <c r="A154" s="92"/>
      <c r="B154" s="317" t="s">
        <v>211</v>
      </c>
      <c r="C154" s="317"/>
      <c r="D154" s="148">
        <f>H116*(1+D153)</f>
        <v>201.58745690161831</v>
      </c>
      <c r="E154" s="148">
        <f>D154*(1+E153)</f>
        <v>207.63508060866687</v>
      </c>
      <c r="F154" s="148">
        <f t="shared" ref="F154" si="126">E154*(1+F153)</f>
        <v>213.86413302692688</v>
      </c>
      <c r="G154" s="148">
        <f t="shared" ref="G154" si="127">F154*(1+G153)</f>
        <v>220.28005701773469</v>
      </c>
      <c r="H154" s="148">
        <f t="shared" ref="H154" si="128">G154*(1+H153)</f>
        <v>226.88845872826673</v>
      </c>
    </row>
    <row r="155" spans="1:8">
      <c r="A155" s="92"/>
      <c r="B155" s="317" t="s">
        <v>218</v>
      </c>
      <c r="C155" s="317"/>
      <c r="D155" s="23">
        <f>D152*D154*$D$47</f>
        <v>1360715.3340859239</v>
      </c>
      <c r="E155" s="23">
        <f t="shared" ref="E155:H155" si="129">E152*E154*$D$47</f>
        <v>1401536.7941085016</v>
      </c>
      <c r="F155" s="23">
        <f t="shared" si="129"/>
        <v>1443582.8979317567</v>
      </c>
      <c r="G155" s="23">
        <f t="shared" si="129"/>
        <v>1486890.3848697096</v>
      </c>
      <c r="H155" s="23">
        <f t="shared" si="129"/>
        <v>1531497.0964158005</v>
      </c>
    </row>
    <row r="156" spans="1:8">
      <c r="A156" s="83">
        <v>6</v>
      </c>
      <c r="B156" s="326" t="s">
        <v>151</v>
      </c>
      <c r="C156" s="326"/>
      <c r="D156" s="140"/>
      <c r="E156" s="140"/>
      <c r="F156" s="140"/>
      <c r="G156" s="139"/>
      <c r="H156" s="141"/>
    </row>
    <row r="157" spans="1:8">
      <c r="A157" s="92"/>
      <c r="B157" s="317" t="s">
        <v>213</v>
      </c>
      <c r="C157" s="317"/>
      <c r="D157" s="154">
        <f>D129*D130*$D$43</f>
        <v>1218.7500000000002</v>
      </c>
      <c r="E157" s="154">
        <f t="shared" ref="E157:H157" si="130">E129*E130*$D$43</f>
        <v>1218.7500000000002</v>
      </c>
      <c r="F157" s="154">
        <f t="shared" si="130"/>
        <v>1218.7500000000002</v>
      </c>
      <c r="G157" s="154">
        <f t="shared" si="130"/>
        <v>1218.7500000000002</v>
      </c>
      <c r="H157" s="154">
        <f t="shared" si="130"/>
        <v>1218.7500000000002</v>
      </c>
    </row>
    <row r="158" spans="1:8">
      <c r="A158" s="92"/>
      <c r="B158" s="317" t="s">
        <v>210</v>
      </c>
      <c r="C158" s="317"/>
      <c r="D158" s="377">
        <f>H120</f>
        <v>0.03</v>
      </c>
      <c r="E158" s="377">
        <f>D158</f>
        <v>0.03</v>
      </c>
      <c r="F158" s="377">
        <f t="shared" ref="F158:H158" si="131">E158</f>
        <v>0.03</v>
      </c>
      <c r="G158" s="377">
        <f t="shared" si="131"/>
        <v>0.03</v>
      </c>
      <c r="H158" s="377">
        <f t="shared" si="131"/>
        <v>0.03</v>
      </c>
    </row>
    <row r="159" spans="1:8">
      <c r="A159" s="92"/>
      <c r="B159" s="317" t="s">
        <v>211</v>
      </c>
      <c r="C159" s="317"/>
      <c r="D159" s="148">
        <f>H121*(1+D158)</f>
        <v>26.878327586882445</v>
      </c>
      <c r="E159" s="148">
        <f>D159*(1+E158)</f>
        <v>27.68467741448892</v>
      </c>
      <c r="F159" s="148">
        <f t="shared" ref="F159" si="132">E159*(1+F158)</f>
        <v>28.515217736923589</v>
      </c>
      <c r="G159" s="148">
        <f t="shared" ref="G159" si="133">F159*(1+G158)</f>
        <v>29.370674269031298</v>
      </c>
      <c r="H159" s="148">
        <f t="shared" ref="H159" si="134">G159*(1+H158)</f>
        <v>30.251794497102239</v>
      </c>
    </row>
    <row r="160" spans="1:8">
      <c r="A160" s="92"/>
      <c r="B160" s="317" t="s">
        <v>218</v>
      </c>
      <c r="C160" s="317"/>
      <c r="D160" s="23">
        <f>D157*D159*$D$47</f>
        <v>11792866.228744674</v>
      </c>
      <c r="E160" s="23">
        <f t="shared" ref="E160:H160" si="135">E157*E159*$D$47</f>
        <v>12146652.215607015</v>
      </c>
      <c r="F160" s="23">
        <f t="shared" si="135"/>
        <v>12511051.782075228</v>
      </c>
      <c r="G160" s="23">
        <f t="shared" si="135"/>
        <v>12886383.335537484</v>
      </c>
      <c r="H160" s="23">
        <f t="shared" si="135"/>
        <v>13272974.83560361</v>
      </c>
    </row>
    <row r="161" spans="1:9">
      <c r="A161" s="92"/>
      <c r="B161" s="316" t="s">
        <v>217</v>
      </c>
      <c r="C161" s="316"/>
      <c r="D161" s="151">
        <f>D135+D140+D145+D150+D155+D160</f>
        <v>45275535.682948753</v>
      </c>
      <c r="E161" s="151">
        <f t="shared" ref="E161:H161" si="136">E135+E140+E145+E150+E155+E160</f>
        <v>48240806.683012165</v>
      </c>
      <c r="F161" s="151">
        <f t="shared" si="136"/>
        <v>51963549.863780648</v>
      </c>
      <c r="G161" s="151">
        <f t="shared" si="136"/>
        <v>56734730.65352001</v>
      </c>
      <c r="H161" s="151">
        <f t="shared" si="136"/>
        <v>62989024.143804677</v>
      </c>
    </row>
    <row r="162" spans="1:9">
      <c r="A162" s="89"/>
      <c r="B162" s="89"/>
      <c r="C162" s="89"/>
      <c r="D162" s="84"/>
      <c r="E162" s="84"/>
    </row>
    <row r="163" spans="1:9" ht="18" customHeight="1">
      <c r="A163" s="314" t="s">
        <v>168</v>
      </c>
      <c r="B163" s="314"/>
      <c r="C163" s="314"/>
      <c r="D163" s="314"/>
      <c r="E163" s="314"/>
      <c r="F163" s="314"/>
      <c r="G163" s="314"/>
      <c r="H163" s="314"/>
    </row>
    <row r="164" spans="1:9" ht="51" customHeight="1">
      <c r="A164" s="342" t="s">
        <v>235</v>
      </c>
      <c r="B164" s="342"/>
      <c r="C164" s="342"/>
      <c r="D164" s="342"/>
      <c r="E164" s="342"/>
      <c r="F164" s="342"/>
      <c r="G164" s="342"/>
      <c r="H164" s="342"/>
      <c r="I164" s="37"/>
    </row>
    <row r="165" spans="1:9" ht="18" customHeight="1">
      <c r="A165" s="84" t="s">
        <v>236</v>
      </c>
    </row>
    <row r="166" spans="1:9" ht="18" customHeight="1">
      <c r="A166" s="88" t="s">
        <v>64</v>
      </c>
    </row>
    <row r="167" spans="1:9" ht="18" customHeight="1">
      <c r="A167" s="88" t="s">
        <v>65</v>
      </c>
      <c r="C167" s="31">
        <v>0.1</v>
      </c>
      <c r="D167" s="229" t="s">
        <v>340</v>
      </c>
    </row>
    <row r="168" spans="1:9" ht="18" customHeight="1">
      <c r="A168" s="88" t="s">
        <v>69</v>
      </c>
      <c r="C168" s="31">
        <v>0.215</v>
      </c>
      <c r="D168" s="88" t="s">
        <v>68</v>
      </c>
    </row>
    <row r="169" spans="1:9" ht="18" customHeight="1">
      <c r="A169" s="88" t="s">
        <v>71</v>
      </c>
      <c r="C169" s="96">
        <v>13</v>
      </c>
      <c r="D169" s="88" t="s">
        <v>70</v>
      </c>
    </row>
    <row r="170" spans="1:9" ht="18" customHeight="1">
      <c r="A170" s="88" t="s">
        <v>73</v>
      </c>
      <c r="C170" s="31">
        <v>0.03</v>
      </c>
      <c r="D170" s="88" t="s">
        <v>72</v>
      </c>
    </row>
    <row r="171" spans="1:9" ht="21.75" customHeight="1">
      <c r="A171" s="84" t="s">
        <v>96</v>
      </c>
      <c r="B171" s="84"/>
    </row>
    <row r="172" spans="1:9" ht="16.5" customHeight="1">
      <c r="A172" s="84"/>
      <c r="B172" s="84"/>
      <c r="G172" s="82" t="s">
        <v>60</v>
      </c>
      <c r="H172" s="30" t="s">
        <v>61</v>
      </c>
    </row>
    <row r="173" spans="1:9" ht="54" customHeight="1">
      <c r="A173" s="91" t="s">
        <v>1</v>
      </c>
      <c r="B173" s="91" t="s">
        <v>75</v>
      </c>
      <c r="C173" s="91" t="s">
        <v>74</v>
      </c>
      <c r="D173" s="91" t="s">
        <v>76</v>
      </c>
      <c r="E173" s="91" t="s">
        <v>77</v>
      </c>
      <c r="F173" s="33" t="s">
        <v>78</v>
      </c>
      <c r="G173" s="34" t="s">
        <v>79</v>
      </c>
      <c r="H173" s="35" t="s">
        <v>80</v>
      </c>
    </row>
    <row r="174" spans="1:9" ht="17.100000000000001" customHeight="1">
      <c r="A174" s="95">
        <v>1</v>
      </c>
      <c r="B174" s="92" t="s">
        <v>228</v>
      </c>
      <c r="C174" s="95">
        <v>1</v>
      </c>
      <c r="D174" s="93">
        <v>20000</v>
      </c>
      <c r="E174" s="93">
        <f>D174*10%</f>
        <v>2000</v>
      </c>
      <c r="F174" s="93">
        <f>D174+E174</f>
        <v>22000</v>
      </c>
      <c r="G174" s="93">
        <f>F174*$C$169*C174</f>
        <v>286000</v>
      </c>
      <c r="H174" s="93">
        <f>D174*12*$C$168*C174</f>
        <v>51600</v>
      </c>
    </row>
    <row r="175" spans="1:9" ht="17.100000000000001" customHeight="1">
      <c r="A175" s="95">
        <v>2</v>
      </c>
      <c r="B175" s="92" t="s">
        <v>82</v>
      </c>
      <c r="C175" s="95">
        <v>1</v>
      </c>
      <c r="D175" s="93">
        <v>15000</v>
      </c>
      <c r="E175" s="93">
        <f t="shared" ref="E175:E179" si="137">D175*10%</f>
        <v>1500</v>
      </c>
      <c r="F175" s="93">
        <f t="shared" ref="F175:F179" si="138">D175+E175</f>
        <v>16500</v>
      </c>
      <c r="G175" s="93">
        <f>F175*$C$169*C175</f>
        <v>214500</v>
      </c>
      <c r="H175" s="93">
        <f t="shared" ref="H175:H179" si="139">D175*12*$C$168*C175</f>
        <v>38700</v>
      </c>
    </row>
    <row r="176" spans="1:9" ht="17.100000000000001" customHeight="1">
      <c r="A176" s="95">
        <v>3</v>
      </c>
      <c r="B176" s="92" t="s">
        <v>83</v>
      </c>
      <c r="C176" s="95">
        <v>2</v>
      </c>
      <c r="D176" s="93">
        <v>8000</v>
      </c>
      <c r="E176" s="93">
        <f t="shared" si="137"/>
        <v>800</v>
      </c>
      <c r="F176" s="93">
        <f t="shared" si="138"/>
        <v>8800</v>
      </c>
      <c r="G176" s="93">
        <f t="shared" ref="G176:G179" si="140">F176*$C$169*C176</f>
        <v>228800</v>
      </c>
      <c r="H176" s="93">
        <f t="shared" si="139"/>
        <v>41280</v>
      </c>
    </row>
    <row r="177" spans="1:9" ht="17.100000000000001" customHeight="1">
      <c r="A177" s="176">
        <v>4</v>
      </c>
      <c r="B177" s="226" t="s">
        <v>84</v>
      </c>
      <c r="C177" s="176">
        <v>1</v>
      </c>
      <c r="D177" s="122">
        <v>7000</v>
      </c>
      <c r="E177" s="122">
        <f t="shared" ref="E177" si="141">D177*10%</f>
        <v>700</v>
      </c>
      <c r="F177" s="122">
        <f t="shared" ref="F177" si="142">D177+E177</f>
        <v>7700</v>
      </c>
      <c r="G177" s="122">
        <f t="shared" ref="G177" si="143">F177*$C$169*C177</f>
        <v>100100</v>
      </c>
      <c r="H177" s="122">
        <f t="shared" ref="H177" si="144">D177*12*$C$168*C177</f>
        <v>18060</v>
      </c>
    </row>
    <row r="178" spans="1:9" ht="17.100000000000001" customHeight="1">
      <c r="A178" s="95">
        <v>4</v>
      </c>
      <c r="B178" s="92" t="s">
        <v>229</v>
      </c>
      <c r="C178" s="95">
        <v>3</v>
      </c>
      <c r="D178" s="93">
        <v>7000</v>
      </c>
      <c r="E178" s="93">
        <f t="shared" si="137"/>
        <v>700</v>
      </c>
      <c r="F178" s="93">
        <f t="shared" si="138"/>
        <v>7700</v>
      </c>
      <c r="G178" s="93">
        <f t="shared" si="140"/>
        <v>300300</v>
      </c>
      <c r="H178" s="93">
        <f t="shared" si="139"/>
        <v>54180</v>
      </c>
    </row>
    <row r="179" spans="1:9" ht="17.100000000000001" customHeight="1">
      <c r="A179" s="95">
        <v>5</v>
      </c>
      <c r="B179" s="92" t="s">
        <v>230</v>
      </c>
      <c r="C179" s="95">
        <v>6</v>
      </c>
      <c r="D179" s="93">
        <v>7000</v>
      </c>
      <c r="E179" s="93">
        <f t="shared" si="137"/>
        <v>700</v>
      </c>
      <c r="F179" s="93">
        <f t="shared" si="138"/>
        <v>7700</v>
      </c>
      <c r="G179" s="93">
        <f t="shared" si="140"/>
        <v>600600</v>
      </c>
      <c r="H179" s="93">
        <f t="shared" si="139"/>
        <v>108360</v>
      </c>
    </row>
    <row r="180" spans="1:9" ht="33" customHeight="1">
      <c r="A180" s="95">
        <v>6</v>
      </c>
      <c r="B180" s="98" t="s">
        <v>233</v>
      </c>
      <c r="C180" s="95">
        <v>5</v>
      </c>
      <c r="D180" s="93">
        <v>7000</v>
      </c>
      <c r="E180" s="93">
        <v>7000</v>
      </c>
      <c r="F180" s="93">
        <v>7000</v>
      </c>
      <c r="G180" s="93">
        <v>7000</v>
      </c>
      <c r="H180" s="93">
        <v>7000</v>
      </c>
    </row>
    <row r="181" spans="1:9" ht="17.100000000000001" customHeight="1">
      <c r="A181" s="95">
        <v>7</v>
      </c>
      <c r="B181" s="92" t="s">
        <v>231</v>
      </c>
      <c r="C181" s="95">
        <v>6</v>
      </c>
      <c r="D181" s="93">
        <v>5000</v>
      </c>
      <c r="E181" s="93">
        <v>5000</v>
      </c>
      <c r="F181" s="93">
        <v>5000</v>
      </c>
      <c r="G181" s="93">
        <v>5000</v>
      </c>
      <c r="H181" s="93">
        <v>5000</v>
      </c>
    </row>
    <row r="182" spans="1:9" ht="17.100000000000001" customHeight="1">
      <c r="A182" s="95">
        <v>8</v>
      </c>
      <c r="B182" s="92" t="s">
        <v>232</v>
      </c>
      <c r="C182" s="95">
        <v>24</v>
      </c>
      <c r="D182" s="93">
        <v>5000</v>
      </c>
      <c r="E182" s="93">
        <v>5000</v>
      </c>
      <c r="F182" s="93">
        <v>5000</v>
      </c>
      <c r="G182" s="93">
        <v>5000</v>
      </c>
      <c r="H182" s="93">
        <v>5000</v>
      </c>
    </row>
    <row r="183" spans="1:9" ht="17.100000000000001" customHeight="1">
      <c r="A183" s="95"/>
      <c r="B183" s="83" t="s">
        <v>89</v>
      </c>
      <c r="C183" s="39">
        <f t="shared" ref="C183:H183" si="145">SUM(C174:C182)</f>
        <v>49</v>
      </c>
      <c r="D183" s="38">
        <f t="shared" si="145"/>
        <v>81000</v>
      </c>
      <c r="E183" s="38">
        <f t="shared" si="145"/>
        <v>23400</v>
      </c>
      <c r="F183" s="38">
        <f t="shared" si="145"/>
        <v>87400</v>
      </c>
      <c r="G183" s="38">
        <f t="shared" si="145"/>
        <v>1747300</v>
      </c>
      <c r="H183" s="38">
        <f t="shared" si="145"/>
        <v>329180</v>
      </c>
    </row>
    <row r="185" spans="1:9" ht="18.75" customHeight="1">
      <c r="A185" s="84" t="s">
        <v>97</v>
      </c>
    </row>
    <row r="186" spans="1:9" ht="16.5" customHeight="1">
      <c r="A186" s="84"/>
      <c r="G186" s="82" t="s">
        <v>60</v>
      </c>
      <c r="H186" s="30" t="s">
        <v>61</v>
      </c>
    </row>
    <row r="187" spans="1:9" ht="17.100000000000001" customHeight="1">
      <c r="A187" s="83" t="s">
        <v>1</v>
      </c>
      <c r="B187" s="316" t="s">
        <v>90</v>
      </c>
      <c r="C187" s="316"/>
      <c r="D187" s="83" t="s">
        <v>33</v>
      </c>
      <c r="E187" s="83" t="s">
        <v>34</v>
      </c>
      <c r="F187" s="83" t="s">
        <v>35</v>
      </c>
      <c r="G187" s="83" t="s">
        <v>36</v>
      </c>
      <c r="H187" s="12" t="s">
        <v>37</v>
      </c>
    </row>
    <row r="188" spans="1:9" ht="17.100000000000001" customHeight="1">
      <c r="A188" s="95">
        <v>1</v>
      </c>
      <c r="B188" s="317" t="s">
        <v>91</v>
      </c>
      <c r="C188" s="317"/>
      <c r="D188" s="144">
        <v>0</v>
      </c>
      <c r="E188" s="144">
        <f>C170</f>
        <v>0.03</v>
      </c>
      <c r="F188" s="144">
        <f>E188</f>
        <v>0.03</v>
      </c>
      <c r="G188" s="144">
        <f t="shared" ref="G188:H188" si="146">F188</f>
        <v>0.03</v>
      </c>
      <c r="H188" s="144">
        <f t="shared" si="146"/>
        <v>0.03</v>
      </c>
    </row>
    <row r="189" spans="1:9" ht="17.100000000000001" customHeight="1">
      <c r="A189" s="95">
        <v>2</v>
      </c>
      <c r="B189" s="317" t="s">
        <v>92</v>
      </c>
      <c r="C189" s="317"/>
      <c r="D189" s="158">
        <f>G183</f>
        <v>1747300</v>
      </c>
      <c r="E189" s="159">
        <f>D189*(1+E188)</f>
        <v>1799719</v>
      </c>
      <c r="F189" s="159">
        <f t="shared" ref="F189:H189" si="147">E189*(1+F188)</f>
        <v>1853710.57</v>
      </c>
      <c r="G189" s="159">
        <f t="shared" si="147"/>
        <v>1909321.8871000002</v>
      </c>
      <c r="H189" s="159">
        <f t="shared" si="147"/>
        <v>1966601.5437130001</v>
      </c>
      <c r="I189" s="37"/>
    </row>
    <row r="190" spans="1:9" ht="17.100000000000001" customHeight="1">
      <c r="A190" s="95">
        <v>3</v>
      </c>
      <c r="B190" s="317" t="s">
        <v>93</v>
      </c>
      <c r="C190" s="317"/>
      <c r="D190" s="158">
        <f>H183</f>
        <v>329180</v>
      </c>
      <c r="E190" s="159">
        <f>D190*(1+E188)</f>
        <v>339055.4</v>
      </c>
      <c r="F190" s="159">
        <f t="shared" ref="F190:H190" si="148">E190*(1+F188)</f>
        <v>349227.06200000003</v>
      </c>
      <c r="G190" s="159">
        <f t="shared" si="148"/>
        <v>359703.87386000005</v>
      </c>
      <c r="H190" s="159">
        <f t="shared" si="148"/>
        <v>370494.99007580004</v>
      </c>
      <c r="I190" s="37"/>
    </row>
    <row r="191" spans="1:9" ht="17.100000000000001" customHeight="1">
      <c r="A191" s="104"/>
      <c r="B191" s="155"/>
      <c r="C191" s="155"/>
      <c r="D191" s="156"/>
      <c r="E191" s="157"/>
      <c r="F191" s="157"/>
      <c r="G191" s="157"/>
      <c r="H191" s="157"/>
      <c r="I191" s="37"/>
    </row>
    <row r="192" spans="1:9" ht="17.100000000000001" customHeight="1">
      <c r="A192" s="83" t="s">
        <v>1</v>
      </c>
      <c r="B192" s="316" t="s">
        <v>90</v>
      </c>
      <c r="C192" s="316"/>
      <c r="D192" s="83" t="s">
        <v>50</v>
      </c>
      <c r="E192" s="83" t="s">
        <v>51</v>
      </c>
      <c r="F192" s="83" t="s">
        <v>52</v>
      </c>
      <c r="G192" s="83" t="s">
        <v>53</v>
      </c>
      <c r="H192" s="83" t="s">
        <v>54</v>
      </c>
      <c r="I192" s="37"/>
    </row>
    <row r="193" spans="1:9" ht="17.100000000000001" customHeight="1">
      <c r="A193" s="95">
        <v>1</v>
      </c>
      <c r="B193" s="317" t="s">
        <v>91</v>
      </c>
      <c r="C193" s="317"/>
      <c r="D193" s="144">
        <f>H188</f>
        <v>0.03</v>
      </c>
      <c r="E193" s="144">
        <f>D193</f>
        <v>0.03</v>
      </c>
      <c r="F193" s="144">
        <f t="shared" ref="F193:H193" si="149">E193</f>
        <v>0.03</v>
      </c>
      <c r="G193" s="144">
        <f t="shared" si="149"/>
        <v>0.03</v>
      </c>
      <c r="H193" s="144">
        <f t="shared" si="149"/>
        <v>0.03</v>
      </c>
      <c r="I193" s="37"/>
    </row>
    <row r="194" spans="1:9" ht="17.100000000000001" customHeight="1">
      <c r="A194" s="95">
        <v>2</v>
      </c>
      <c r="B194" s="317" t="s">
        <v>92</v>
      </c>
      <c r="C194" s="317"/>
      <c r="D194" s="159">
        <f>H189*(1+H188)</f>
        <v>2025599.5900243903</v>
      </c>
      <c r="E194" s="159">
        <f>D194*(1+E193)</f>
        <v>2086367.577725122</v>
      </c>
      <c r="F194" s="159">
        <f t="shared" ref="F194:H194" si="150">E194*(1+F193)</f>
        <v>2148958.6050568759</v>
      </c>
      <c r="G194" s="159">
        <f t="shared" si="150"/>
        <v>2213427.3632085822</v>
      </c>
      <c r="H194" s="159">
        <f t="shared" si="150"/>
        <v>2279830.1841048398</v>
      </c>
      <c r="I194" s="37"/>
    </row>
    <row r="195" spans="1:9" ht="17.100000000000001" customHeight="1">
      <c r="A195" s="95">
        <v>3</v>
      </c>
      <c r="B195" s="317" t="s">
        <v>93</v>
      </c>
      <c r="C195" s="317"/>
      <c r="D195" s="159">
        <f>H190*(1+H188)</f>
        <v>381609.83977807406</v>
      </c>
      <c r="E195" s="159">
        <f>D195*(1+E193)</f>
        <v>393058.13497141632</v>
      </c>
      <c r="F195" s="159">
        <f t="shared" ref="F195:H195" si="151">E195*(1+F193)</f>
        <v>404849.87902055884</v>
      </c>
      <c r="G195" s="159">
        <f t="shared" si="151"/>
        <v>416995.37539117562</v>
      </c>
      <c r="H195" s="159">
        <f t="shared" si="151"/>
        <v>429505.23665291088</v>
      </c>
      <c r="I195" s="37"/>
    </row>
    <row r="196" spans="1:9" ht="17.100000000000001" customHeight="1">
      <c r="A196" s="104"/>
      <c r="B196" s="155"/>
      <c r="C196" s="155"/>
      <c r="D196" s="156"/>
      <c r="E196" s="157"/>
      <c r="F196" s="157"/>
      <c r="G196" s="157"/>
      <c r="H196" s="157"/>
      <c r="I196" s="37"/>
    </row>
    <row r="197" spans="1:9" ht="17.100000000000001" customHeight="1">
      <c r="A197" s="83" t="s">
        <v>1</v>
      </c>
      <c r="B197" s="316" t="s">
        <v>90</v>
      </c>
      <c r="C197" s="316"/>
      <c r="D197" s="83" t="s">
        <v>55</v>
      </c>
      <c r="E197" s="83" t="s">
        <v>56</v>
      </c>
      <c r="F197" s="83" t="s">
        <v>57</v>
      </c>
      <c r="G197" s="83" t="s">
        <v>58</v>
      </c>
      <c r="H197" s="83" t="s">
        <v>59</v>
      </c>
      <c r="I197" s="37"/>
    </row>
    <row r="198" spans="1:9" ht="17.100000000000001" customHeight="1">
      <c r="A198" s="95">
        <v>1</v>
      </c>
      <c r="B198" s="317" t="s">
        <v>91</v>
      </c>
      <c r="C198" s="317"/>
      <c r="D198" s="144">
        <f>H193</f>
        <v>0.03</v>
      </c>
      <c r="E198" s="144">
        <f>D198</f>
        <v>0.03</v>
      </c>
      <c r="F198" s="144">
        <f t="shared" ref="F198:H198" si="152">E198</f>
        <v>0.03</v>
      </c>
      <c r="G198" s="144">
        <f t="shared" si="152"/>
        <v>0.03</v>
      </c>
      <c r="H198" s="144">
        <f t="shared" si="152"/>
        <v>0.03</v>
      </c>
      <c r="I198" s="37"/>
    </row>
    <row r="199" spans="1:9" ht="17.100000000000001" customHeight="1">
      <c r="A199" s="95">
        <v>2</v>
      </c>
      <c r="B199" s="317" t="s">
        <v>92</v>
      </c>
      <c r="C199" s="317"/>
      <c r="D199" s="159">
        <f>H194*(1+H193)</f>
        <v>2348225.0896279849</v>
      </c>
      <c r="E199" s="159">
        <f>D199*(1+E198)</f>
        <v>2418671.8423168245</v>
      </c>
      <c r="F199" s="159">
        <f t="shared" ref="F199" si="153">E199*(1+F198)</f>
        <v>2491231.9975863295</v>
      </c>
      <c r="G199" s="159">
        <f t="shared" ref="G199" si="154">F199*(1+G198)</f>
        <v>2565968.9575139196</v>
      </c>
      <c r="H199" s="159">
        <f t="shared" ref="H199" si="155">G199*(1+H198)</f>
        <v>2642948.0262393374</v>
      </c>
      <c r="I199" s="37"/>
    </row>
    <row r="200" spans="1:9" ht="17.100000000000001" customHeight="1">
      <c r="A200" s="95">
        <v>3</v>
      </c>
      <c r="B200" s="317" t="s">
        <v>93</v>
      </c>
      <c r="C200" s="317"/>
      <c r="D200" s="159">
        <f>H195*(1+H193)</f>
        <v>442390.3937524982</v>
      </c>
      <c r="E200" s="159">
        <f>D200*(1+E198)</f>
        <v>455662.10556507314</v>
      </c>
      <c r="F200" s="159">
        <f t="shared" ref="F200:H200" si="156">E200*(1+F198)</f>
        <v>469331.96873202536</v>
      </c>
      <c r="G200" s="159">
        <f t="shared" si="156"/>
        <v>483411.92779398611</v>
      </c>
      <c r="H200" s="159">
        <f t="shared" si="156"/>
        <v>497914.28562780569</v>
      </c>
      <c r="I200" s="37"/>
    </row>
    <row r="201" spans="1:9" ht="17.100000000000001" customHeight="1">
      <c r="A201" s="104"/>
      <c r="B201" s="155"/>
      <c r="C201" s="155"/>
      <c r="D201" s="156"/>
      <c r="E201" s="157"/>
      <c r="F201" s="157"/>
      <c r="G201" s="157"/>
      <c r="H201" s="157"/>
      <c r="I201" s="37"/>
    </row>
    <row r="202" spans="1:9">
      <c r="A202" s="84" t="s">
        <v>237</v>
      </c>
    </row>
    <row r="203" spans="1:9">
      <c r="A203" s="318" t="s">
        <v>243</v>
      </c>
      <c r="B203" s="318"/>
      <c r="C203" s="318"/>
      <c r="D203" s="5">
        <v>0.02</v>
      </c>
      <c r="E203" s="308" t="s">
        <v>238</v>
      </c>
      <c r="F203" s="308"/>
      <c r="G203" s="308"/>
      <c r="H203" s="308"/>
    </row>
    <row r="204" spans="1:9" ht="33" customHeight="1">
      <c r="A204" s="350" t="s">
        <v>244</v>
      </c>
      <c r="B204" s="350"/>
      <c r="C204" s="350"/>
      <c r="D204" s="161">
        <v>0.35</v>
      </c>
      <c r="E204" s="351" t="s">
        <v>239</v>
      </c>
      <c r="F204" s="351"/>
      <c r="G204" s="351"/>
      <c r="H204" s="351"/>
      <c r="I204" s="37"/>
    </row>
    <row r="205" spans="1:9" ht="32.25" customHeight="1">
      <c r="A205" s="350" t="s">
        <v>245</v>
      </c>
      <c r="B205" s="350"/>
      <c r="C205" s="350"/>
      <c r="D205" s="161">
        <v>0.8</v>
      </c>
      <c r="E205" s="351" t="s">
        <v>240</v>
      </c>
      <c r="F205" s="351"/>
      <c r="G205" s="351"/>
      <c r="H205" s="351"/>
      <c r="I205" s="37"/>
    </row>
    <row r="206" spans="1:9" ht="17.100000000000001" customHeight="1">
      <c r="A206" s="318" t="s">
        <v>246</v>
      </c>
      <c r="B206" s="318"/>
      <c r="C206" s="318"/>
      <c r="D206" s="160">
        <v>0.8</v>
      </c>
      <c r="E206" s="308" t="s">
        <v>241</v>
      </c>
      <c r="F206" s="308"/>
      <c r="G206" s="308"/>
      <c r="H206" s="308"/>
      <c r="I206" s="37"/>
    </row>
    <row r="207" spans="1:9" ht="35.25" customHeight="1">
      <c r="A207" s="350" t="s">
        <v>247</v>
      </c>
      <c r="B207" s="350"/>
      <c r="C207" s="350"/>
      <c r="D207" s="161">
        <v>0.6</v>
      </c>
      <c r="E207" s="351" t="s">
        <v>242</v>
      </c>
      <c r="F207" s="351"/>
      <c r="G207" s="351"/>
      <c r="H207" s="351"/>
      <c r="I207" s="37"/>
    </row>
    <row r="208" spans="1:9" ht="17.100000000000001" customHeight="1">
      <c r="A208" s="318" t="s">
        <v>248</v>
      </c>
      <c r="B208" s="318"/>
      <c r="C208" s="318"/>
      <c r="D208" s="160">
        <v>0.01</v>
      </c>
      <c r="E208" s="308" t="s">
        <v>238</v>
      </c>
      <c r="F208" s="308"/>
      <c r="G208" s="308"/>
      <c r="H208" s="308"/>
      <c r="I208" s="37"/>
    </row>
    <row r="209" spans="1:13" ht="17.100000000000001" customHeight="1">
      <c r="A209" s="104"/>
      <c r="B209" s="155"/>
      <c r="C209" s="155"/>
      <c r="D209" s="156"/>
      <c r="E209" s="157"/>
      <c r="F209" s="157"/>
      <c r="G209" s="157"/>
      <c r="H209" s="157"/>
      <c r="I209" s="37"/>
    </row>
    <row r="210" spans="1:13" ht="17.100000000000001" customHeight="1">
      <c r="A210" s="331" t="s">
        <v>249</v>
      </c>
      <c r="B210" s="331"/>
      <c r="C210" s="331"/>
      <c r="D210" s="331"/>
      <c r="E210" s="331"/>
      <c r="F210" s="331"/>
      <c r="G210" s="331"/>
      <c r="H210" s="331"/>
      <c r="I210" s="37"/>
    </row>
    <row r="211" spans="1:13" ht="17.100000000000001" customHeight="1">
      <c r="A211" s="104"/>
      <c r="B211" s="155"/>
      <c r="C211" s="155"/>
      <c r="D211" s="156"/>
      <c r="E211" s="157"/>
      <c r="F211" s="157"/>
      <c r="G211" s="82" t="s">
        <v>60</v>
      </c>
      <c r="H211" s="30" t="s">
        <v>61</v>
      </c>
      <c r="I211" s="37"/>
    </row>
    <row r="212" spans="1:13" ht="18" customHeight="1">
      <c r="A212" s="319" t="s">
        <v>1</v>
      </c>
      <c r="B212" s="316" t="s">
        <v>90</v>
      </c>
      <c r="C212" s="316"/>
      <c r="D212" s="163" t="s">
        <v>33</v>
      </c>
      <c r="E212" s="164" t="s">
        <v>34</v>
      </c>
      <c r="F212" s="163" t="s">
        <v>35</v>
      </c>
      <c r="G212" s="164" t="s">
        <v>36</v>
      </c>
      <c r="H212" s="163" t="s">
        <v>37</v>
      </c>
      <c r="I212" s="37"/>
    </row>
    <row r="213" spans="1:13" ht="18" customHeight="1">
      <c r="A213" s="319"/>
      <c r="B213" s="316" t="s">
        <v>94</v>
      </c>
      <c r="C213" s="316"/>
      <c r="D213" s="165">
        <v>1</v>
      </c>
      <c r="E213" s="166">
        <v>2</v>
      </c>
      <c r="F213" s="166">
        <v>3</v>
      </c>
      <c r="G213" s="166">
        <v>4</v>
      </c>
      <c r="H213" s="166">
        <v>5</v>
      </c>
      <c r="I213" s="37"/>
    </row>
    <row r="214" spans="1:13" ht="18" customHeight="1">
      <c r="A214" s="95">
        <v>1</v>
      </c>
      <c r="B214" s="317" t="s">
        <v>250</v>
      </c>
      <c r="C214" s="317"/>
      <c r="D214" s="143">
        <f>D189</f>
        <v>1747300</v>
      </c>
      <c r="E214" s="143">
        <f t="shared" ref="E214:H214" si="157">E189</f>
        <v>1799719</v>
      </c>
      <c r="F214" s="143">
        <f t="shared" si="157"/>
        <v>1853710.57</v>
      </c>
      <c r="G214" s="143">
        <f t="shared" si="157"/>
        <v>1909321.8871000002</v>
      </c>
      <c r="H214" s="143">
        <f t="shared" si="157"/>
        <v>1966601.5437130001</v>
      </c>
      <c r="I214" s="37"/>
    </row>
    <row r="215" spans="1:13" ht="18" customHeight="1">
      <c r="A215" s="95">
        <v>2</v>
      </c>
      <c r="B215" s="317" t="s">
        <v>251</v>
      </c>
      <c r="C215" s="317"/>
      <c r="D215" s="143">
        <f>D190</f>
        <v>329180</v>
      </c>
      <c r="E215" s="143">
        <f t="shared" ref="E215:H215" si="158">E190</f>
        <v>339055.4</v>
      </c>
      <c r="F215" s="143">
        <f t="shared" si="158"/>
        <v>349227.06200000003</v>
      </c>
      <c r="G215" s="143">
        <f t="shared" si="158"/>
        <v>359703.87386000005</v>
      </c>
      <c r="H215" s="143">
        <f t="shared" si="158"/>
        <v>370494.99007580004</v>
      </c>
      <c r="I215" s="37"/>
    </row>
    <row r="216" spans="1:13" ht="18" customHeight="1">
      <c r="A216" s="95">
        <v>3</v>
      </c>
      <c r="B216" s="317" t="s">
        <v>252</v>
      </c>
      <c r="C216" s="317"/>
      <c r="D216" s="143">
        <f>$D$203*D85</f>
        <v>331920</v>
      </c>
      <c r="E216" s="143">
        <f t="shared" ref="E216:H216" si="159">$D$203*E85</f>
        <v>384612.3</v>
      </c>
      <c r="F216" s="143">
        <f t="shared" si="159"/>
        <v>440167.41000000003</v>
      </c>
      <c r="G216" s="143">
        <f t="shared" si="159"/>
        <v>498709.67553000007</v>
      </c>
      <c r="H216" s="143">
        <f t="shared" si="159"/>
        <v>560368.32632280025</v>
      </c>
      <c r="I216" s="37"/>
    </row>
    <row r="217" spans="1:13" ht="18" customHeight="1">
      <c r="A217" s="95">
        <v>4</v>
      </c>
      <c r="B217" s="317" t="s">
        <v>253</v>
      </c>
      <c r="C217" s="317"/>
      <c r="D217" s="143">
        <f>$D$204*D59</f>
        <v>1889999.9999999998</v>
      </c>
      <c r="E217" s="143">
        <f t="shared" ref="E217:H217" si="160">$D$204*E59</f>
        <v>2190037.5</v>
      </c>
      <c r="F217" s="143">
        <f t="shared" si="160"/>
        <v>2506376.25</v>
      </c>
      <c r="G217" s="143">
        <f t="shared" si="160"/>
        <v>2839724.2912499998</v>
      </c>
      <c r="H217" s="143">
        <f t="shared" si="160"/>
        <v>3190817.4763500001</v>
      </c>
      <c r="I217" s="37"/>
    </row>
    <row r="218" spans="1:13" ht="18" customHeight="1">
      <c r="A218" s="95">
        <v>5</v>
      </c>
      <c r="B218" s="317" t="s">
        <v>254</v>
      </c>
      <c r="C218" s="317"/>
      <c r="D218" s="143">
        <f>$D$205*D64</f>
        <v>1036800</v>
      </c>
      <c r="E218" s="143">
        <f t="shared" ref="E218:H218" si="161">$D$205*E64</f>
        <v>1201392</v>
      </c>
      <c r="F218" s="143">
        <f t="shared" si="161"/>
        <v>1374926.4000000001</v>
      </c>
      <c r="G218" s="143">
        <f t="shared" si="161"/>
        <v>1557791.6112000002</v>
      </c>
      <c r="H218" s="143">
        <f t="shared" si="161"/>
        <v>1750391.3013120005</v>
      </c>
      <c r="I218" s="37"/>
    </row>
    <row r="219" spans="1:13" ht="18" customHeight="1">
      <c r="A219" s="95">
        <v>6</v>
      </c>
      <c r="B219" s="317" t="s">
        <v>255</v>
      </c>
      <c r="C219" s="317"/>
      <c r="D219" s="143">
        <f>$D$204*D69</f>
        <v>1007999.9999999999</v>
      </c>
      <c r="E219" s="143">
        <f t="shared" ref="E219:M219" si="162">$D$204*E69</f>
        <v>1168020</v>
      </c>
      <c r="F219" s="143">
        <f t="shared" si="162"/>
        <v>1336734</v>
      </c>
      <c r="G219" s="143">
        <f t="shared" si="162"/>
        <v>1514519.6220000002</v>
      </c>
      <c r="H219" s="143">
        <f t="shared" si="162"/>
        <v>1701769.3207200007</v>
      </c>
      <c r="I219" s="42">
        <f t="shared" si="162"/>
        <v>0</v>
      </c>
      <c r="J219" s="42">
        <f t="shared" si="162"/>
        <v>0</v>
      </c>
      <c r="K219" s="42">
        <f t="shared" si="162"/>
        <v>0</v>
      </c>
      <c r="L219" s="42">
        <f t="shared" si="162"/>
        <v>0</v>
      </c>
      <c r="M219" s="42">
        <f t="shared" si="162"/>
        <v>0</v>
      </c>
    </row>
    <row r="220" spans="1:13" ht="18" customHeight="1">
      <c r="A220" s="95">
        <v>7</v>
      </c>
      <c r="B220" s="317" t="s">
        <v>256</v>
      </c>
      <c r="C220" s="317"/>
      <c r="D220" s="143">
        <f>$D$206*D74</f>
        <v>1440000</v>
      </c>
      <c r="E220" s="143">
        <f t="shared" ref="E220:H220" si="163">$D$206*E74</f>
        <v>1668600</v>
      </c>
      <c r="F220" s="143">
        <f t="shared" si="163"/>
        <v>1909620</v>
      </c>
      <c r="G220" s="143">
        <f t="shared" si="163"/>
        <v>2163599.4600000004</v>
      </c>
      <c r="H220" s="143">
        <f t="shared" si="163"/>
        <v>2431099.0296000009</v>
      </c>
      <c r="I220" s="37"/>
    </row>
    <row r="221" spans="1:13" ht="18" customHeight="1">
      <c r="A221" s="95">
        <v>8</v>
      </c>
      <c r="B221" s="352" t="s">
        <v>257</v>
      </c>
      <c r="C221" s="352"/>
      <c r="D221" s="143">
        <f>$D$207*D84</f>
        <v>2808000</v>
      </c>
      <c r="E221" s="143">
        <f t="shared" ref="E221:H221" si="164">$D$207*E84</f>
        <v>3253770.0000000005</v>
      </c>
      <c r="F221" s="143">
        <f t="shared" si="164"/>
        <v>3723759.0000000005</v>
      </c>
      <c r="G221" s="143">
        <f t="shared" si="164"/>
        <v>4219018.9470000006</v>
      </c>
      <c r="H221" s="143">
        <f t="shared" si="164"/>
        <v>4740643.1077200016</v>
      </c>
      <c r="I221" s="42">
        <f t="shared" ref="I221:M221" si="165">$D$207*I79</f>
        <v>0</v>
      </c>
      <c r="J221" s="42">
        <f t="shared" si="165"/>
        <v>0</v>
      </c>
      <c r="K221" s="42">
        <f t="shared" si="165"/>
        <v>0</v>
      </c>
      <c r="L221" s="42">
        <f t="shared" si="165"/>
        <v>0</v>
      </c>
      <c r="M221" s="42">
        <f t="shared" si="165"/>
        <v>0</v>
      </c>
    </row>
    <row r="222" spans="1:13" ht="18" customHeight="1">
      <c r="A222" s="95">
        <v>9</v>
      </c>
      <c r="B222" s="317" t="s">
        <v>258</v>
      </c>
      <c r="C222" s="317"/>
      <c r="D222" s="143">
        <f>$D$208*D85</f>
        <v>165960</v>
      </c>
      <c r="E222" s="143">
        <f t="shared" ref="E222:H222" si="166">$D$208*E85</f>
        <v>192306.15</v>
      </c>
      <c r="F222" s="143">
        <f t="shared" si="166"/>
        <v>220083.70500000002</v>
      </c>
      <c r="G222" s="143">
        <f t="shared" si="166"/>
        <v>249354.83776500003</v>
      </c>
      <c r="H222" s="143">
        <f t="shared" si="166"/>
        <v>280184.16316140012</v>
      </c>
      <c r="I222" s="37"/>
    </row>
    <row r="223" spans="1:13" ht="18" customHeight="1">
      <c r="A223" s="95"/>
      <c r="B223" s="316" t="s">
        <v>259</v>
      </c>
      <c r="C223" s="316"/>
      <c r="D223" s="167">
        <f>SUM(D214:D222)</f>
        <v>10757160</v>
      </c>
      <c r="E223" s="28">
        <f t="shared" ref="E223:H223" si="167">SUM(E214:E222)</f>
        <v>12197512.35</v>
      </c>
      <c r="F223" s="28">
        <f t="shared" si="167"/>
        <v>13714604.397000002</v>
      </c>
      <c r="G223" s="28">
        <f t="shared" si="167"/>
        <v>15311744.205705002</v>
      </c>
      <c r="H223" s="28">
        <f t="shared" si="167"/>
        <v>16992369.258975007</v>
      </c>
      <c r="I223" s="37"/>
    </row>
    <row r="224" spans="1:13" ht="17.100000000000001" customHeight="1">
      <c r="A224" s="104"/>
      <c r="B224" s="330"/>
      <c r="C224" s="330"/>
      <c r="D224" s="156"/>
      <c r="E224" s="157"/>
      <c r="F224" s="157"/>
      <c r="G224" s="157"/>
      <c r="H224" s="157"/>
      <c r="I224" s="37"/>
    </row>
    <row r="225" spans="1:13" ht="17.100000000000001" customHeight="1">
      <c r="A225" s="319" t="s">
        <v>1</v>
      </c>
      <c r="B225" s="316" t="s">
        <v>90</v>
      </c>
      <c r="C225" s="316"/>
      <c r="D225" s="163" t="s">
        <v>50</v>
      </c>
      <c r="E225" s="164" t="s">
        <v>51</v>
      </c>
      <c r="F225" s="163" t="s">
        <v>52</v>
      </c>
      <c r="G225" s="164" t="s">
        <v>53</v>
      </c>
      <c r="H225" s="163" t="s">
        <v>54</v>
      </c>
      <c r="I225" s="37"/>
    </row>
    <row r="226" spans="1:13" ht="17.100000000000001" customHeight="1">
      <c r="A226" s="319"/>
      <c r="B226" s="316" t="s">
        <v>94</v>
      </c>
      <c r="C226" s="316"/>
      <c r="D226" s="165">
        <v>6</v>
      </c>
      <c r="E226" s="166">
        <v>7</v>
      </c>
      <c r="F226" s="165">
        <v>8</v>
      </c>
      <c r="G226" s="166">
        <v>9</v>
      </c>
      <c r="H226" s="165">
        <v>10</v>
      </c>
      <c r="I226" s="37"/>
    </row>
    <row r="227" spans="1:13" ht="17.100000000000001" customHeight="1">
      <c r="A227" s="95">
        <v>1</v>
      </c>
      <c r="B227" s="317" t="s">
        <v>250</v>
      </c>
      <c r="C227" s="317"/>
      <c r="D227" s="143">
        <f>D194</f>
        <v>2025599.5900243903</v>
      </c>
      <c r="E227" s="143">
        <f t="shared" ref="E227:H227" si="168">E194</f>
        <v>2086367.577725122</v>
      </c>
      <c r="F227" s="143">
        <f t="shared" si="168"/>
        <v>2148958.6050568759</v>
      </c>
      <c r="G227" s="143">
        <f t="shared" si="168"/>
        <v>2213427.3632085822</v>
      </c>
      <c r="H227" s="143">
        <f t="shared" si="168"/>
        <v>2279830.1841048398</v>
      </c>
      <c r="I227" s="37"/>
    </row>
    <row r="228" spans="1:13" ht="17.100000000000001" customHeight="1">
      <c r="A228" s="95">
        <v>2</v>
      </c>
      <c r="B228" s="317" t="s">
        <v>251</v>
      </c>
      <c r="C228" s="317"/>
      <c r="D228" s="143">
        <f>D195</f>
        <v>381609.83977807406</v>
      </c>
      <c r="E228" s="143">
        <f t="shared" ref="E228:M228" si="169">E195</f>
        <v>393058.13497141632</v>
      </c>
      <c r="F228" s="143">
        <f t="shared" si="169"/>
        <v>404849.87902055884</v>
      </c>
      <c r="G228" s="143">
        <f t="shared" si="169"/>
        <v>416995.37539117562</v>
      </c>
      <c r="H228" s="143">
        <f t="shared" si="169"/>
        <v>429505.23665291088</v>
      </c>
      <c r="I228" s="143">
        <f t="shared" si="169"/>
        <v>0</v>
      </c>
      <c r="J228" s="143">
        <f t="shared" si="169"/>
        <v>0</v>
      </c>
      <c r="K228" s="143">
        <f t="shared" si="169"/>
        <v>0</v>
      </c>
      <c r="L228" s="143">
        <f t="shared" si="169"/>
        <v>0</v>
      </c>
      <c r="M228" s="143">
        <f t="shared" si="169"/>
        <v>0</v>
      </c>
    </row>
    <row r="229" spans="1:13" ht="17.100000000000001" customHeight="1">
      <c r="A229" s="95">
        <v>3</v>
      </c>
      <c r="B229" s="317" t="s">
        <v>252</v>
      </c>
      <c r="C229" s="317"/>
      <c r="D229" s="143">
        <f>$D$203*D123</f>
        <v>606038.34491810831</v>
      </c>
      <c r="E229" s="143">
        <f t="shared" ref="E229:M229" si="170">$D$203*E123</f>
        <v>657249.55537608883</v>
      </c>
      <c r="F229" s="143">
        <f t="shared" si="170"/>
        <v>715064.06724151608</v>
      </c>
      <c r="G229" s="143">
        <f t="shared" si="170"/>
        <v>781036.86861129187</v>
      </c>
      <c r="H229" s="143">
        <f t="shared" si="170"/>
        <v>857429.49922720331</v>
      </c>
      <c r="I229" s="143">
        <f t="shared" si="170"/>
        <v>0</v>
      </c>
      <c r="J229" s="143">
        <f t="shared" si="170"/>
        <v>0</v>
      </c>
      <c r="K229" s="143">
        <f t="shared" si="170"/>
        <v>0</v>
      </c>
      <c r="L229" s="143">
        <f t="shared" si="170"/>
        <v>0</v>
      </c>
      <c r="M229" s="143">
        <f t="shared" si="170"/>
        <v>0</v>
      </c>
    </row>
    <row r="230" spans="1:13" ht="17.100000000000001" customHeight="1">
      <c r="A230" s="95">
        <v>4</v>
      </c>
      <c r="B230" s="317" t="s">
        <v>253</v>
      </c>
      <c r="C230" s="317"/>
      <c r="D230" s="143">
        <f>$D$204*D97</f>
        <v>3450869.1006725254</v>
      </c>
      <c r="E230" s="143">
        <f t="shared" ref="E230:M230" si="171">$D$204*E97</f>
        <v>3723652.0867256871</v>
      </c>
      <c r="F230" s="143">
        <f t="shared" si="171"/>
        <v>4009696.2697514337</v>
      </c>
      <c r="G230" s="143">
        <f t="shared" si="171"/>
        <v>4309551.8168806713</v>
      </c>
      <c r="H230" s="143">
        <f t="shared" si="171"/>
        <v>4623789.9701948874</v>
      </c>
      <c r="I230" s="143">
        <f t="shared" si="171"/>
        <v>0</v>
      </c>
      <c r="J230" s="143">
        <f t="shared" si="171"/>
        <v>0</v>
      </c>
      <c r="K230" s="143">
        <f t="shared" si="171"/>
        <v>0</v>
      </c>
      <c r="L230" s="143">
        <f t="shared" si="171"/>
        <v>0</v>
      </c>
      <c r="M230" s="143">
        <f t="shared" si="171"/>
        <v>0</v>
      </c>
    </row>
    <row r="231" spans="1:13" ht="17.100000000000001" customHeight="1">
      <c r="A231" s="95">
        <v>5</v>
      </c>
      <c r="B231" s="317" t="s">
        <v>254</v>
      </c>
      <c r="C231" s="317"/>
      <c r="D231" s="143">
        <f>$D$205*D102</f>
        <v>1893048.1923689283</v>
      </c>
      <c r="E231" s="143">
        <f t="shared" ref="E231:H231" si="172">$D$205*E102</f>
        <v>2042689.1447180917</v>
      </c>
      <c r="F231" s="143">
        <f t="shared" si="172"/>
        <v>2199604.8108350723</v>
      </c>
      <c r="G231" s="143">
        <f t="shared" si="172"/>
        <v>2364096.996688826</v>
      </c>
      <c r="H231" s="143">
        <f t="shared" si="172"/>
        <v>2536479.0693640527</v>
      </c>
      <c r="I231" s="37"/>
    </row>
    <row r="232" spans="1:13" ht="17.100000000000001" customHeight="1">
      <c r="A232" s="95">
        <v>6</v>
      </c>
      <c r="B232" s="317" t="s">
        <v>255</v>
      </c>
      <c r="C232" s="317"/>
      <c r="D232" s="143">
        <f>$D$204*D107</f>
        <v>1840463.5203586807</v>
      </c>
      <c r="E232" s="143">
        <f t="shared" ref="E232:H232" si="173">$D$204*E107</f>
        <v>2043790.9187983065</v>
      </c>
      <c r="F232" s="143">
        <f t="shared" si="173"/>
        <v>2328992.6515578884</v>
      </c>
      <c r="G232" s="143">
        <f t="shared" si="173"/>
        <v>2721883.5858206982</v>
      </c>
      <c r="H232" s="143">
        <f t="shared" si="173"/>
        <v>3260589.7121810443</v>
      </c>
      <c r="I232" s="37"/>
    </row>
    <row r="233" spans="1:13" ht="17.100000000000001" customHeight="1">
      <c r="A233" s="95">
        <v>7</v>
      </c>
      <c r="B233" s="317" t="s">
        <v>256</v>
      </c>
      <c r="C233" s="317"/>
      <c r="D233" s="143">
        <f>$D$206*D112</f>
        <v>2629233.6005124003</v>
      </c>
      <c r="E233" s="143">
        <f t="shared" ref="E233:H233" si="174">$D$206*E112</f>
        <v>2837068.2565529048</v>
      </c>
      <c r="F233" s="143">
        <f t="shared" si="174"/>
        <v>3055006.6817153785</v>
      </c>
      <c r="G233" s="143">
        <f t="shared" si="174"/>
        <v>3283468.0509567028</v>
      </c>
      <c r="H233" s="143">
        <f t="shared" si="174"/>
        <v>3522887.5963389613</v>
      </c>
      <c r="I233" s="37"/>
    </row>
    <row r="234" spans="1:13" ht="17.100000000000001" customHeight="1">
      <c r="A234" s="95">
        <v>8</v>
      </c>
      <c r="B234" s="352" t="s">
        <v>257</v>
      </c>
      <c r="C234" s="352"/>
      <c r="D234" s="143">
        <f>$D$207*D122</f>
        <v>5127005.5209991811</v>
      </c>
      <c r="E234" s="143">
        <f t="shared" ref="E234:H234" si="175">$D$207*E122</f>
        <v>5532283.1002781643</v>
      </c>
      <c r="F234" s="143">
        <f t="shared" si="175"/>
        <v>5957263.0293449881</v>
      </c>
      <c r="G234" s="143">
        <f t="shared" si="175"/>
        <v>6402762.6993655702</v>
      </c>
      <c r="H234" s="143">
        <f t="shared" si="175"/>
        <v>6869630.812860975</v>
      </c>
      <c r="I234" s="37"/>
    </row>
    <row r="235" spans="1:13" ht="17.100000000000001" customHeight="1">
      <c r="A235" s="95">
        <v>9</v>
      </c>
      <c r="B235" s="317" t="s">
        <v>258</v>
      </c>
      <c r="C235" s="317"/>
      <c r="D235" s="143">
        <f>$D$208*D123</f>
        <v>303019.17245905416</v>
      </c>
      <c r="E235" s="143">
        <f t="shared" ref="E235:H235" si="176">$D$208*E123</f>
        <v>328624.77768804441</v>
      </c>
      <c r="F235" s="143">
        <f t="shared" si="176"/>
        <v>357532.03362075804</v>
      </c>
      <c r="G235" s="143">
        <f t="shared" si="176"/>
        <v>390518.43430564593</v>
      </c>
      <c r="H235" s="143">
        <f t="shared" si="176"/>
        <v>428714.74961360166</v>
      </c>
      <c r="I235" s="37"/>
    </row>
    <row r="236" spans="1:13" ht="17.100000000000001" customHeight="1">
      <c r="A236" s="95"/>
      <c r="B236" s="316" t="s">
        <v>259</v>
      </c>
      <c r="C236" s="316"/>
      <c r="D236" s="167">
        <f>SUM(D227:D235)</f>
        <v>18256886.882091343</v>
      </c>
      <c r="E236" s="28">
        <f t="shared" ref="E236" si="177">SUM(E227:E235)</f>
        <v>19644783.552833825</v>
      </c>
      <c r="F236" s="28">
        <f t="shared" ref="F236" si="178">SUM(F227:F235)</f>
        <v>21176968.028144471</v>
      </c>
      <c r="G236" s="28">
        <f t="shared" ref="G236" si="179">SUM(G227:G235)</f>
        <v>22883741.191229165</v>
      </c>
      <c r="H236" s="28">
        <f t="shared" ref="H236" si="180">SUM(H227:H235)</f>
        <v>24808856.830538478</v>
      </c>
      <c r="I236" s="37"/>
    </row>
    <row r="237" spans="1:13" ht="17.100000000000001" customHeight="1">
      <c r="A237" s="104"/>
      <c r="B237" s="155"/>
      <c r="C237" s="155"/>
      <c r="D237" s="156"/>
      <c r="E237" s="157"/>
      <c r="F237" s="157"/>
      <c r="G237" s="157"/>
      <c r="H237" s="157"/>
      <c r="I237" s="37"/>
    </row>
    <row r="238" spans="1:13" ht="17.100000000000001" customHeight="1">
      <c r="A238" s="319" t="s">
        <v>1</v>
      </c>
      <c r="B238" s="316" t="s">
        <v>90</v>
      </c>
      <c r="C238" s="316"/>
      <c r="D238" s="163" t="s">
        <v>55</v>
      </c>
      <c r="E238" s="164" t="s">
        <v>56</v>
      </c>
      <c r="F238" s="163" t="s">
        <v>57</v>
      </c>
      <c r="G238" s="164" t="s">
        <v>58</v>
      </c>
      <c r="H238" s="163" t="s">
        <v>59</v>
      </c>
      <c r="I238" s="164" t="s">
        <v>107</v>
      </c>
      <c r="J238" s="163" t="s">
        <v>108</v>
      </c>
      <c r="K238" s="164" t="s">
        <v>109</v>
      </c>
      <c r="L238" s="163" t="s">
        <v>110</v>
      </c>
      <c r="M238" s="164" t="s">
        <v>111</v>
      </c>
    </row>
    <row r="239" spans="1:13" ht="17.100000000000001" customHeight="1">
      <c r="A239" s="319"/>
      <c r="B239" s="316" t="s">
        <v>94</v>
      </c>
      <c r="C239" s="316"/>
      <c r="D239" s="165">
        <v>11</v>
      </c>
      <c r="E239" s="166">
        <v>12</v>
      </c>
      <c r="F239" s="165">
        <v>13</v>
      </c>
      <c r="G239" s="166">
        <v>14</v>
      </c>
      <c r="H239" s="165">
        <v>15</v>
      </c>
      <c r="I239" s="166">
        <v>16</v>
      </c>
      <c r="J239" s="165">
        <v>17</v>
      </c>
      <c r="K239" s="166">
        <v>18</v>
      </c>
      <c r="L239" s="165">
        <v>19</v>
      </c>
      <c r="M239" s="166">
        <v>20</v>
      </c>
    </row>
    <row r="240" spans="1:13" ht="17.100000000000001" customHeight="1">
      <c r="A240" s="95">
        <v>1</v>
      </c>
      <c r="B240" s="317" t="s">
        <v>250</v>
      </c>
      <c r="C240" s="317"/>
      <c r="D240" s="143">
        <f>D199</f>
        <v>2348225.0896279849</v>
      </c>
      <c r="E240" s="143">
        <f t="shared" ref="E240:H240" si="181">E199</f>
        <v>2418671.8423168245</v>
      </c>
      <c r="F240" s="143">
        <f t="shared" si="181"/>
        <v>2491231.9975863295</v>
      </c>
      <c r="G240" s="143">
        <f t="shared" si="181"/>
        <v>2565968.9575139196</v>
      </c>
      <c r="H240" s="143">
        <f t="shared" si="181"/>
        <v>2642948.0262393374</v>
      </c>
      <c r="I240" s="37"/>
    </row>
    <row r="241" spans="1:9" ht="17.100000000000001" customHeight="1">
      <c r="A241" s="95">
        <v>2</v>
      </c>
      <c r="B241" s="317" t="s">
        <v>251</v>
      </c>
      <c r="C241" s="317"/>
      <c r="D241" s="143">
        <f>D200</f>
        <v>442390.3937524982</v>
      </c>
      <c r="E241" s="143">
        <f t="shared" ref="E241:H241" si="182">E200</f>
        <v>455662.10556507314</v>
      </c>
      <c r="F241" s="143">
        <f t="shared" si="182"/>
        <v>469331.96873202536</v>
      </c>
      <c r="G241" s="143">
        <f t="shared" si="182"/>
        <v>483411.92779398611</v>
      </c>
      <c r="H241" s="143">
        <f t="shared" si="182"/>
        <v>497914.28562780569</v>
      </c>
      <c r="I241" s="37"/>
    </row>
    <row r="242" spans="1:9" ht="17.100000000000001" customHeight="1">
      <c r="A242" s="95">
        <v>3</v>
      </c>
      <c r="B242" s="317" t="s">
        <v>252</v>
      </c>
      <c r="C242" s="317"/>
      <c r="D242" s="143">
        <f>$D$203*D161</f>
        <v>905510.71365897509</v>
      </c>
      <c r="E242" s="143">
        <f t="shared" ref="E242:H242" si="183">$D$203*E161</f>
        <v>964816.13366024336</v>
      </c>
      <c r="F242" s="143">
        <f t="shared" si="183"/>
        <v>1039270.997275613</v>
      </c>
      <c r="G242" s="143">
        <f t="shared" si="183"/>
        <v>1134694.6130704002</v>
      </c>
      <c r="H242" s="143">
        <f t="shared" si="183"/>
        <v>1259780.4828760936</v>
      </c>
      <c r="I242" s="37"/>
    </row>
    <row r="243" spans="1:9" ht="17.100000000000001" customHeight="1">
      <c r="A243" s="95">
        <v>4</v>
      </c>
      <c r="B243" s="317" t="s">
        <v>253</v>
      </c>
      <c r="C243" s="317"/>
      <c r="D243" s="143">
        <f>$D$204*D135</f>
        <v>4762503.6693007341</v>
      </c>
      <c r="E243" s="143">
        <f t="shared" ref="E243:H243" si="184">$D$204*E135</f>
        <v>4905378.7793797553</v>
      </c>
      <c r="F243" s="143">
        <f t="shared" si="184"/>
        <v>5052540.1427611485</v>
      </c>
      <c r="G243" s="143">
        <f t="shared" si="184"/>
        <v>5204116.3470439827</v>
      </c>
      <c r="H243" s="143">
        <f t="shared" si="184"/>
        <v>5360239.8374553034</v>
      </c>
      <c r="I243" s="37"/>
    </row>
    <row r="244" spans="1:9" ht="17.100000000000001" customHeight="1">
      <c r="A244" s="95">
        <v>5</v>
      </c>
      <c r="B244" s="317" t="s">
        <v>254</v>
      </c>
      <c r="C244" s="317"/>
      <c r="D244" s="143">
        <f>$D$205*D140</f>
        <v>2612573.4414449744</v>
      </c>
      <c r="E244" s="143">
        <f t="shared" ref="E244:H244" si="185">$D$205*E140</f>
        <v>2690950.6446883236</v>
      </c>
      <c r="F244" s="143">
        <f t="shared" si="185"/>
        <v>2771679.1640289729</v>
      </c>
      <c r="G244" s="143">
        <f t="shared" si="185"/>
        <v>2854829.538949843</v>
      </c>
      <c r="H244" s="143">
        <f t="shared" si="185"/>
        <v>2940474.4251183383</v>
      </c>
      <c r="I244" s="37"/>
    </row>
    <row r="245" spans="1:9" ht="17.100000000000001" customHeight="1">
      <c r="A245" s="95">
        <v>6</v>
      </c>
      <c r="B245" s="317" t="s">
        <v>255</v>
      </c>
      <c r="C245" s="317"/>
      <c r="D245" s="143">
        <f>$D$204*D145</f>
        <v>3749678.1690082001</v>
      </c>
      <c r="E245" s="143">
        <f t="shared" ref="E245:H245" si="186">$D$204*E145</f>
        <v>4424620.239429676</v>
      </c>
      <c r="F245" s="143">
        <f t="shared" si="186"/>
        <v>5353790.4897099081</v>
      </c>
      <c r="G245" s="143">
        <f t="shared" si="186"/>
        <v>6638700.2072402854</v>
      </c>
      <c r="H245" s="143">
        <f t="shared" si="186"/>
        <v>8431149.2631951626</v>
      </c>
      <c r="I245" s="37"/>
    </row>
    <row r="246" spans="1:9" ht="17.100000000000001" customHeight="1">
      <c r="A246" s="95">
        <v>7</v>
      </c>
      <c r="B246" s="317" t="s">
        <v>256</v>
      </c>
      <c r="C246" s="317"/>
      <c r="D246" s="143">
        <f>$D$206*D150</f>
        <v>3628574.2242291309</v>
      </c>
      <c r="E246" s="143">
        <f t="shared" ref="E246:H246" si="187">$D$206*E150</f>
        <v>3737431.4509560056</v>
      </c>
      <c r="F246" s="143">
        <f t="shared" si="187"/>
        <v>3849554.3944846857</v>
      </c>
      <c r="G246" s="143">
        <f t="shared" si="187"/>
        <v>3965041.0263192263</v>
      </c>
      <c r="H246" s="143">
        <f t="shared" si="187"/>
        <v>4083992.2571088024</v>
      </c>
      <c r="I246" s="37"/>
    </row>
    <row r="247" spans="1:9" ht="17.100000000000001" customHeight="1">
      <c r="A247" s="95">
        <v>8</v>
      </c>
      <c r="B247" s="352" t="s">
        <v>257</v>
      </c>
      <c r="C247" s="352"/>
      <c r="D247" s="143">
        <f>$D$207*D160</f>
        <v>7075719.7372468049</v>
      </c>
      <c r="E247" s="143">
        <f t="shared" ref="E247:H247" si="188">$D$207*E160</f>
        <v>7287991.3293642094</v>
      </c>
      <c r="F247" s="143">
        <f t="shared" si="188"/>
        <v>7506631.0692451363</v>
      </c>
      <c r="G247" s="143">
        <f t="shared" si="188"/>
        <v>7731830.0013224902</v>
      </c>
      <c r="H247" s="143">
        <f t="shared" si="188"/>
        <v>7963784.9013621658</v>
      </c>
      <c r="I247" s="37"/>
    </row>
    <row r="248" spans="1:9" ht="17.100000000000001" customHeight="1">
      <c r="A248" s="95">
        <v>9</v>
      </c>
      <c r="B248" s="317" t="s">
        <v>258</v>
      </c>
      <c r="C248" s="317"/>
      <c r="D248" s="143">
        <f>$D$208*D161</f>
        <v>452755.35682948754</v>
      </c>
      <c r="E248" s="143">
        <f t="shared" ref="E248:H248" si="189">$D$208*E161</f>
        <v>482408.06683012168</v>
      </c>
      <c r="F248" s="143">
        <f t="shared" si="189"/>
        <v>519635.49863780651</v>
      </c>
      <c r="G248" s="143">
        <f t="shared" si="189"/>
        <v>567347.3065352001</v>
      </c>
      <c r="H248" s="143">
        <f t="shared" si="189"/>
        <v>629890.2414380468</v>
      </c>
      <c r="I248" s="37"/>
    </row>
    <row r="249" spans="1:9" ht="17.100000000000001" customHeight="1">
      <c r="A249" s="95"/>
      <c r="B249" s="316" t="s">
        <v>259</v>
      </c>
      <c r="C249" s="316"/>
      <c r="D249" s="167">
        <f>SUM(D240:D248)</f>
        <v>25977930.795098789</v>
      </c>
      <c r="E249" s="28">
        <f t="shared" ref="E249" si="190">SUM(E240:E248)</f>
        <v>27367930.592190232</v>
      </c>
      <c r="F249" s="28">
        <f t="shared" ref="F249" si="191">SUM(F240:F248)</f>
        <v>29053665.722461622</v>
      </c>
      <c r="G249" s="28">
        <f t="shared" ref="G249" si="192">SUM(G240:G248)</f>
        <v>31145939.92578933</v>
      </c>
      <c r="H249" s="28">
        <f t="shared" ref="H249" si="193">SUM(H240:H248)</f>
        <v>33810173.720421061</v>
      </c>
      <c r="I249" s="37"/>
    </row>
    <row r="250" spans="1:9" ht="17.100000000000001" customHeight="1">
      <c r="A250" s="104"/>
      <c r="B250" s="155"/>
      <c r="C250" s="155"/>
      <c r="D250" s="156"/>
      <c r="E250" s="157"/>
      <c r="F250" s="157"/>
      <c r="G250" s="157"/>
      <c r="H250" s="157"/>
      <c r="I250" s="37"/>
    </row>
    <row r="251" spans="1:9">
      <c r="A251" s="84" t="s">
        <v>260</v>
      </c>
    </row>
    <row r="252" spans="1:9" ht="66.75" customHeight="1">
      <c r="A252" s="318" t="s">
        <v>504</v>
      </c>
      <c r="B252" s="318"/>
      <c r="C252" s="318"/>
      <c r="D252" s="318"/>
      <c r="E252" s="318"/>
      <c r="F252" s="318"/>
      <c r="G252" s="318"/>
      <c r="H252" s="318"/>
    </row>
    <row r="253" spans="1:9" ht="18" customHeight="1">
      <c r="A253" s="342" t="s">
        <v>426</v>
      </c>
      <c r="B253" s="342"/>
      <c r="C253" s="342"/>
      <c r="D253" s="342"/>
      <c r="E253" s="342"/>
      <c r="F253" s="342"/>
      <c r="G253" s="342"/>
      <c r="H253" s="342"/>
    </row>
    <row r="254" spans="1:9" ht="18" customHeight="1">
      <c r="A254" s="84" t="s">
        <v>99</v>
      </c>
    </row>
    <row r="255" spans="1:9" ht="18" customHeight="1">
      <c r="G255" s="29" t="s">
        <v>60</v>
      </c>
      <c r="H255" s="30" t="s">
        <v>61</v>
      </c>
    </row>
    <row r="256" spans="1:9" ht="50.1" customHeight="1">
      <c r="A256" s="174" t="s">
        <v>1</v>
      </c>
      <c r="B256" s="174" t="s">
        <v>100</v>
      </c>
      <c r="C256" s="174" t="s">
        <v>106</v>
      </c>
      <c r="D256" s="174" t="s">
        <v>95</v>
      </c>
      <c r="E256" s="174" t="s">
        <v>101</v>
      </c>
      <c r="F256" s="172" t="s">
        <v>33</v>
      </c>
      <c r="G256" s="172" t="s">
        <v>34</v>
      </c>
      <c r="H256" s="172" t="s">
        <v>35</v>
      </c>
    </row>
    <row r="257" spans="1:17" ht="17.100000000000001" customHeight="1">
      <c r="A257" s="170" t="s">
        <v>38</v>
      </c>
      <c r="B257" s="170" t="s">
        <v>39</v>
      </c>
      <c r="C257" s="170" t="s">
        <v>40</v>
      </c>
      <c r="D257" s="170" t="s">
        <v>105</v>
      </c>
      <c r="E257" s="170" t="s">
        <v>425</v>
      </c>
      <c r="F257" s="83">
        <v>1</v>
      </c>
      <c r="G257" s="83">
        <v>2</v>
      </c>
      <c r="H257" s="83">
        <v>3</v>
      </c>
      <c r="Q257" s="1" t="s">
        <v>498</v>
      </c>
    </row>
    <row r="258" spans="1:17" ht="17.100000000000001" customHeight="1">
      <c r="A258" s="95">
        <v>1</v>
      </c>
      <c r="B258" s="92" t="s">
        <v>281</v>
      </c>
      <c r="C258" s="264">
        <v>15</v>
      </c>
      <c r="D258" s="266">
        <f>SUM(Q259:Q263)/1000</f>
        <v>11111636.363636363</v>
      </c>
      <c r="E258" s="110">
        <f>1/C258</f>
        <v>6.6666666666666666E-2</v>
      </c>
      <c r="F258" s="47">
        <f>E258*D258</f>
        <v>740775.75757575757</v>
      </c>
      <c r="G258" s="48">
        <f>F258</f>
        <v>740775.75757575757</v>
      </c>
      <c r="H258" s="48">
        <f>G258</f>
        <v>740775.75757575757</v>
      </c>
      <c r="J258" s="1">
        <f>100/15</f>
        <v>6.666666666666667</v>
      </c>
      <c r="O258" s="259" t="s">
        <v>416</v>
      </c>
      <c r="P258" s="260" t="s">
        <v>436</v>
      </c>
      <c r="Q258" s="138">
        <f>10923600000/1.1</f>
        <v>9930545454.545454</v>
      </c>
    </row>
    <row r="259" spans="1:17" ht="17.100000000000001" customHeight="1">
      <c r="A259" s="95">
        <v>2</v>
      </c>
      <c r="B259" s="92" t="s">
        <v>173</v>
      </c>
      <c r="C259" s="264">
        <v>6</v>
      </c>
      <c r="D259" s="266">
        <f>3386400/1.1</f>
        <v>3078545.4545454541</v>
      </c>
      <c r="E259" s="110">
        <f t="shared" ref="E259:E261" si="194">1/C259</f>
        <v>0.16666666666666666</v>
      </c>
      <c r="F259" s="47">
        <f t="shared" ref="F259:F261" si="195">E259*D259</f>
        <v>513090.909090909</v>
      </c>
      <c r="G259" s="48">
        <f t="shared" ref="G259:H259" si="196">F259</f>
        <v>513090.909090909</v>
      </c>
      <c r="H259" s="48">
        <f t="shared" si="196"/>
        <v>513090.909090909</v>
      </c>
      <c r="O259" s="259" t="s">
        <v>417</v>
      </c>
      <c r="P259" s="262" t="s">
        <v>437</v>
      </c>
      <c r="Q259" s="263">
        <f>818000000/1.1</f>
        <v>743636363.63636363</v>
      </c>
    </row>
    <row r="260" spans="1:17" ht="17.100000000000001" customHeight="1">
      <c r="A260" s="176">
        <v>3</v>
      </c>
      <c r="B260" s="171" t="s">
        <v>456</v>
      </c>
      <c r="C260" s="175">
        <v>10</v>
      </c>
      <c r="D260" s="252">
        <f>Q258/1000</f>
        <v>9930545.4545454532</v>
      </c>
      <c r="E260" s="253">
        <f t="shared" si="194"/>
        <v>0.1</v>
      </c>
      <c r="F260" s="47">
        <f t="shared" si="195"/>
        <v>993054.54545454541</v>
      </c>
      <c r="G260" s="48">
        <f t="shared" ref="G260:H260" si="197">F260</f>
        <v>993054.54545454541</v>
      </c>
      <c r="H260" s="48">
        <f t="shared" si="197"/>
        <v>993054.54545454541</v>
      </c>
      <c r="O260" s="259" t="s">
        <v>418</v>
      </c>
      <c r="P260" s="262" t="s">
        <v>438</v>
      </c>
      <c r="Q260" s="263">
        <f>124000000/1.1</f>
        <v>112727272.72727272</v>
      </c>
    </row>
    <row r="261" spans="1:17" ht="17.100000000000001" customHeight="1">
      <c r="A261" s="176">
        <v>4</v>
      </c>
      <c r="B261" s="171" t="s">
        <v>434</v>
      </c>
      <c r="C261" s="175">
        <v>6</v>
      </c>
      <c r="D261" s="252">
        <f>SUM(Q264:Q271)/1000</f>
        <v>3331671.1363636362</v>
      </c>
      <c r="E261" s="110">
        <f t="shared" si="194"/>
        <v>0.16666666666666666</v>
      </c>
      <c r="F261" s="47">
        <f t="shared" si="195"/>
        <v>555278.52272727271</v>
      </c>
      <c r="G261" s="48">
        <f t="shared" ref="G261:H261" si="198">F261</f>
        <v>555278.52272727271</v>
      </c>
      <c r="H261" s="48">
        <f t="shared" si="198"/>
        <v>555278.52272727271</v>
      </c>
      <c r="O261" s="259" t="s">
        <v>419</v>
      </c>
      <c r="P261" s="262" t="s">
        <v>439</v>
      </c>
      <c r="Q261" s="263">
        <f>820800000/1.1</f>
        <v>746181818.18181813</v>
      </c>
    </row>
    <row r="262" spans="1:17" ht="17.100000000000001" customHeight="1">
      <c r="A262" s="95"/>
      <c r="B262" s="83" t="s">
        <v>103</v>
      </c>
      <c r="C262" s="265"/>
      <c r="D262" s="267">
        <f>SUM(D258:D261)</f>
        <v>27452398.409090906</v>
      </c>
      <c r="E262" s="15"/>
      <c r="F262" s="49">
        <f>SUM(F258:F261)</f>
        <v>2802199.7348484844</v>
      </c>
      <c r="G262" s="49">
        <f t="shared" ref="G262:H262" si="199">SUM(G258:G261)</f>
        <v>2802199.7348484844</v>
      </c>
      <c r="H262" s="49">
        <f t="shared" si="199"/>
        <v>2802199.7348484844</v>
      </c>
      <c r="O262" s="259" t="s">
        <v>420</v>
      </c>
      <c r="P262" s="262" t="s">
        <v>440</v>
      </c>
      <c r="Q262" s="263">
        <f>872000000/1.1</f>
        <v>792727272.72727263</v>
      </c>
    </row>
    <row r="263" spans="1:17" ht="17.100000000000001" customHeight="1">
      <c r="A263" s="95"/>
      <c r="B263" s="83" t="s">
        <v>104</v>
      </c>
      <c r="C263" s="315"/>
      <c r="D263" s="315"/>
      <c r="E263" s="15"/>
      <c r="F263" s="49">
        <f>D262-F262</f>
        <v>24650198.674242422</v>
      </c>
      <c r="G263" s="49">
        <f>F263-G262</f>
        <v>21847998.939393938</v>
      </c>
      <c r="H263" s="49">
        <f>G263-H262</f>
        <v>19045799.204545453</v>
      </c>
      <c r="O263" s="259" t="s">
        <v>421</v>
      </c>
      <c r="P263" s="262" t="s">
        <v>441</v>
      </c>
      <c r="Q263" s="263">
        <f>9588000000/1.1</f>
        <v>8716363636.363636</v>
      </c>
    </row>
    <row r="264" spans="1:17" ht="17.100000000000001" customHeight="1">
      <c r="O264" s="259" t="s">
        <v>424</v>
      </c>
      <c r="P264" s="260" t="s">
        <v>442</v>
      </c>
      <c r="Q264" s="138">
        <f>627968250/1.1</f>
        <v>570880227.27272725</v>
      </c>
    </row>
    <row r="265" spans="1:17" ht="50.1" customHeight="1">
      <c r="A265" s="174" t="s">
        <v>1</v>
      </c>
      <c r="B265" s="174" t="s">
        <v>100</v>
      </c>
      <c r="C265" s="174" t="s">
        <v>106</v>
      </c>
      <c r="D265" s="174" t="s">
        <v>95</v>
      </c>
      <c r="E265" s="174" t="s">
        <v>101</v>
      </c>
      <c r="F265" s="172" t="s">
        <v>36</v>
      </c>
      <c r="G265" s="172" t="s">
        <v>37</v>
      </c>
      <c r="H265" s="172" t="s">
        <v>50</v>
      </c>
      <c r="O265" s="259" t="s">
        <v>443</v>
      </c>
      <c r="P265" s="260" t="s">
        <v>414</v>
      </c>
      <c r="Q265" s="138">
        <f>767790000/1.1</f>
        <v>697990909.090909</v>
      </c>
    </row>
    <row r="266" spans="1:17" ht="17.100000000000001" customHeight="1">
      <c r="A266" s="170" t="s">
        <v>38</v>
      </c>
      <c r="B266" s="170" t="s">
        <v>39</v>
      </c>
      <c r="C266" s="170" t="s">
        <v>40</v>
      </c>
      <c r="D266" s="170" t="s">
        <v>105</v>
      </c>
      <c r="E266" s="170" t="s">
        <v>425</v>
      </c>
      <c r="F266" s="83">
        <v>4</v>
      </c>
      <c r="G266" s="83">
        <v>5</v>
      </c>
      <c r="H266" s="83">
        <v>6</v>
      </c>
      <c r="O266" s="259" t="s">
        <v>444</v>
      </c>
      <c r="P266" s="260" t="s">
        <v>445</v>
      </c>
      <c r="Q266" s="138">
        <f>50000000/1.1</f>
        <v>45454545.454545453</v>
      </c>
    </row>
    <row r="267" spans="1:17" ht="17.100000000000001" customHeight="1">
      <c r="A267" s="176">
        <v>1</v>
      </c>
      <c r="B267" s="171" t="s">
        <v>281</v>
      </c>
      <c r="C267" s="264">
        <f>C258</f>
        <v>15</v>
      </c>
      <c r="D267" s="266">
        <f>D258</f>
        <v>11111636.363636363</v>
      </c>
      <c r="E267" s="110">
        <f>1/C267</f>
        <v>6.6666666666666666E-2</v>
      </c>
      <c r="F267" s="47">
        <f>E267*D267</f>
        <v>740775.75757575757</v>
      </c>
      <c r="G267" s="48">
        <f>F267</f>
        <v>740775.75757575757</v>
      </c>
      <c r="H267" s="48">
        <f>G267</f>
        <v>740775.75757575757</v>
      </c>
      <c r="O267" s="259" t="s">
        <v>446</v>
      </c>
      <c r="P267" s="260" t="s">
        <v>447</v>
      </c>
      <c r="Q267" s="138">
        <f>320000000/1.1</f>
        <v>290909090.90909088</v>
      </c>
    </row>
    <row r="268" spans="1:17" ht="17.100000000000001" customHeight="1">
      <c r="A268" s="176">
        <v>2</v>
      </c>
      <c r="B268" s="171" t="s">
        <v>173</v>
      </c>
      <c r="C268" s="264">
        <f t="shared" ref="C268:C270" si="200">C259</f>
        <v>6</v>
      </c>
      <c r="D268" s="266">
        <f t="shared" ref="D268:D270" si="201">D259</f>
        <v>3078545.4545454541</v>
      </c>
      <c r="E268" s="110">
        <f t="shared" ref="E268:E270" si="202">1/C268</f>
        <v>0.16666666666666666</v>
      </c>
      <c r="F268" s="47">
        <f t="shared" ref="F268:F270" si="203">E268*D268</f>
        <v>513090.909090909</v>
      </c>
      <c r="G268" s="48">
        <f t="shared" ref="G268:H268" si="204">F268</f>
        <v>513090.909090909</v>
      </c>
      <c r="H268" s="48">
        <f t="shared" si="204"/>
        <v>513090.909090909</v>
      </c>
      <c r="O268" s="259" t="s">
        <v>448</v>
      </c>
      <c r="P268" s="260" t="s">
        <v>449</v>
      </c>
      <c r="Q268" s="138">
        <f>250000000/1.1</f>
        <v>227272727.27272725</v>
      </c>
    </row>
    <row r="269" spans="1:17" ht="17.100000000000001" customHeight="1">
      <c r="A269" s="176">
        <v>3</v>
      </c>
      <c r="B269" s="171" t="s">
        <v>456</v>
      </c>
      <c r="C269" s="264">
        <f t="shared" si="200"/>
        <v>10</v>
      </c>
      <c r="D269" s="266">
        <f t="shared" si="201"/>
        <v>9930545.4545454532</v>
      </c>
      <c r="E269" s="253">
        <f t="shared" si="202"/>
        <v>0.1</v>
      </c>
      <c r="F269" s="47">
        <f t="shared" si="203"/>
        <v>993054.54545454541</v>
      </c>
      <c r="G269" s="48">
        <f t="shared" ref="G269:H269" si="205">F269</f>
        <v>993054.54545454541</v>
      </c>
      <c r="H269" s="48">
        <f t="shared" si="205"/>
        <v>993054.54545454541</v>
      </c>
      <c r="O269" s="259" t="s">
        <v>450</v>
      </c>
      <c r="P269" s="260" t="s">
        <v>451</v>
      </c>
      <c r="Q269" s="138">
        <f>800000000/1.1</f>
        <v>727272727.27272725</v>
      </c>
    </row>
    <row r="270" spans="1:17" ht="17.100000000000001" customHeight="1">
      <c r="A270" s="176">
        <v>4</v>
      </c>
      <c r="B270" s="171" t="s">
        <v>434</v>
      </c>
      <c r="C270" s="264">
        <f t="shared" si="200"/>
        <v>6</v>
      </c>
      <c r="D270" s="266">
        <f t="shared" si="201"/>
        <v>3331671.1363636362</v>
      </c>
      <c r="E270" s="110">
        <f t="shared" si="202"/>
        <v>0.16666666666666666</v>
      </c>
      <c r="F270" s="47">
        <f t="shared" si="203"/>
        <v>555278.52272727271</v>
      </c>
      <c r="G270" s="48">
        <f t="shared" ref="G270:H270" si="206">F270</f>
        <v>555278.52272727271</v>
      </c>
      <c r="H270" s="48">
        <f t="shared" si="206"/>
        <v>555278.52272727271</v>
      </c>
      <c r="O270" s="259" t="s">
        <v>452</v>
      </c>
      <c r="P270" s="260" t="s">
        <v>453</v>
      </c>
      <c r="Q270" s="138">
        <f>800000000/1.1</f>
        <v>727272727.27272725</v>
      </c>
    </row>
    <row r="271" spans="1:17" ht="17.100000000000001" customHeight="1">
      <c r="A271" s="176"/>
      <c r="B271" s="170" t="s">
        <v>103</v>
      </c>
      <c r="C271" s="265"/>
      <c r="D271" s="267">
        <f>SUM(D267:D270)</f>
        <v>27452398.409090906</v>
      </c>
      <c r="E271" s="15"/>
      <c r="F271" s="49">
        <f>SUM(F267:F270)</f>
        <v>2802199.7348484844</v>
      </c>
      <c r="G271" s="49">
        <f t="shared" ref="G271" si="207">SUM(G267:G270)</f>
        <v>2802199.7348484844</v>
      </c>
      <c r="H271" s="49">
        <f t="shared" ref="H271" si="208">SUM(H267:H270)</f>
        <v>2802199.7348484844</v>
      </c>
      <c r="O271" s="259" t="s">
        <v>454</v>
      </c>
      <c r="P271" s="260" t="s">
        <v>455</v>
      </c>
      <c r="Q271" s="138">
        <f>49080000/1.1</f>
        <v>44618181.818181813</v>
      </c>
    </row>
    <row r="272" spans="1:17" ht="17.100000000000001" customHeight="1">
      <c r="A272" s="95"/>
      <c r="B272" s="83" t="s">
        <v>104</v>
      </c>
      <c r="C272" s="315"/>
      <c r="D272" s="315"/>
      <c r="E272" s="15"/>
      <c r="F272" s="49">
        <f>H263-F271</f>
        <v>16243599.469696969</v>
      </c>
      <c r="G272" s="49">
        <f>F272-G271</f>
        <v>13441399.734848484</v>
      </c>
      <c r="H272" s="49">
        <f>G272-H271</f>
        <v>10639200</v>
      </c>
    </row>
    <row r="273" spans="1:8" ht="17.100000000000001" customHeight="1"/>
    <row r="274" spans="1:8" ht="50.1" customHeight="1">
      <c r="A274" s="174" t="s">
        <v>1</v>
      </c>
      <c r="B274" s="174" t="s">
        <v>100</v>
      </c>
      <c r="C274" s="174" t="s">
        <v>106</v>
      </c>
      <c r="D274" s="174" t="s">
        <v>95</v>
      </c>
      <c r="E274" s="174" t="s">
        <v>101</v>
      </c>
      <c r="F274" s="172" t="s">
        <v>51</v>
      </c>
      <c r="G274" s="172" t="s">
        <v>52</v>
      </c>
      <c r="H274" s="172" t="s">
        <v>53</v>
      </c>
    </row>
    <row r="275" spans="1:8" ht="17.100000000000001" customHeight="1">
      <c r="A275" s="170" t="s">
        <v>38</v>
      </c>
      <c r="B275" s="170" t="s">
        <v>39</v>
      </c>
      <c r="C275" s="170" t="s">
        <v>40</v>
      </c>
      <c r="D275" s="170" t="s">
        <v>105</v>
      </c>
      <c r="E275" s="170" t="s">
        <v>425</v>
      </c>
      <c r="F275" s="83">
        <v>7</v>
      </c>
      <c r="G275" s="83">
        <v>8</v>
      </c>
      <c r="H275" s="83">
        <v>9</v>
      </c>
    </row>
    <row r="276" spans="1:8" ht="17.100000000000001" customHeight="1">
      <c r="A276" s="176">
        <v>1</v>
      </c>
      <c r="B276" s="171" t="s">
        <v>281</v>
      </c>
      <c r="C276" s="264">
        <f>C267</f>
        <v>15</v>
      </c>
      <c r="D276" s="266">
        <f>D267</f>
        <v>11111636.363636363</v>
      </c>
      <c r="E276" s="110">
        <f>1/C276</f>
        <v>6.6666666666666666E-2</v>
      </c>
      <c r="F276" s="47">
        <f>E276*D276</f>
        <v>740775.75757575757</v>
      </c>
      <c r="G276" s="48">
        <f>F276</f>
        <v>740775.75757575757</v>
      </c>
      <c r="H276" s="48">
        <f>G276</f>
        <v>740775.75757575757</v>
      </c>
    </row>
    <row r="277" spans="1:8" ht="17.100000000000001" customHeight="1">
      <c r="A277" s="176">
        <v>2</v>
      </c>
      <c r="B277" s="171" t="s">
        <v>173</v>
      </c>
      <c r="C277" s="264">
        <f t="shared" ref="C277:C279" si="209">C268</f>
        <v>6</v>
      </c>
      <c r="D277" s="266">
        <f t="shared" ref="D277:D279" si="210">D268</f>
        <v>3078545.4545454541</v>
      </c>
      <c r="E277" s="110">
        <f t="shared" ref="E277:E279" si="211">1/C277</f>
        <v>0.16666666666666666</v>
      </c>
      <c r="F277" s="47">
        <v>0</v>
      </c>
      <c r="G277" s="48">
        <f t="shared" ref="G277:H277" si="212">F277</f>
        <v>0</v>
      </c>
      <c r="H277" s="48">
        <f t="shared" si="212"/>
        <v>0</v>
      </c>
    </row>
    <row r="278" spans="1:8" ht="17.100000000000001" customHeight="1">
      <c r="A278" s="176">
        <v>3</v>
      </c>
      <c r="B278" s="171" t="s">
        <v>456</v>
      </c>
      <c r="C278" s="264">
        <f t="shared" si="209"/>
        <v>10</v>
      </c>
      <c r="D278" s="266">
        <f t="shared" si="210"/>
        <v>9930545.4545454532</v>
      </c>
      <c r="E278" s="253">
        <f t="shared" si="211"/>
        <v>0.1</v>
      </c>
      <c r="F278" s="47">
        <f t="shared" ref="F278" si="213">E278*D278</f>
        <v>993054.54545454541</v>
      </c>
      <c r="G278" s="48">
        <f t="shared" ref="G278:H278" si="214">F278</f>
        <v>993054.54545454541</v>
      </c>
      <c r="H278" s="48">
        <f t="shared" si="214"/>
        <v>993054.54545454541</v>
      </c>
    </row>
    <row r="279" spans="1:8" ht="17.100000000000001" customHeight="1">
      <c r="A279" s="176">
        <v>4</v>
      </c>
      <c r="B279" s="171" t="s">
        <v>434</v>
      </c>
      <c r="C279" s="264">
        <f t="shared" si="209"/>
        <v>6</v>
      </c>
      <c r="D279" s="266">
        <f t="shared" si="210"/>
        <v>3331671.1363636362</v>
      </c>
      <c r="E279" s="110">
        <f t="shared" si="211"/>
        <v>0.16666666666666666</v>
      </c>
      <c r="F279" s="47">
        <v>0</v>
      </c>
      <c r="G279" s="48">
        <f t="shared" ref="G279:H279" si="215">F279</f>
        <v>0</v>
      </c>
      <c r="H279" s="48">
        <f t="shared" si="215"/>
        <v>0</v>
      </c>
    </row>
    <row r="280" spans="1:8" ht="17.100000000000001" customHeight="1">
      <c r="A280" s="176"/>
      <c r="B280" s="170" t="s">
        <v>103</v>
      </c>
      <c r="C280" s="265"/>
      <c r="D280" s="267">
        <f>SUM(D276:D279)</f>
        <v>27452398.409090906</v>
      </c>
      <c r="E280" s="15"/>
      <c r="F280" s="49">
        <f>SUM(F276:F279)</f>
        <v>1733830.303030303</v>
      </c>
      <c r="G280" s="49">
        <f t="shared" ref="G280" si="216">SUM(G276:G279)</f>
        <v>1733830.303030303</v>
      </c>
      <c r="H280" s="49">
        <f t="shared" ref="H280" si="217">SUM(H276:H279)</f>
        <v>1733830.303030303</v>
      </c>
    </row>
    <row r="281" spans="1:8" ht="17.100000000000001" customHeight="1">
      <c r="A281" s="95"/>
      <c r="B281" s="83" t="s">
        <v>104</v>
      </c>
      <c r="C281" s="315"/>
      <c r="D281" s="315"/>
      <c r="E281" s="15"/>
      <c r="F281" s="49">
        <f>H272-F280</f>
        <v>8905369.6969696973</v>
      </c>
      <c r="G281" s="49">
        <f>F281-G280</f>
        <v>7171539.3939393945</v>
      </c>
      <c r="H281" s="49">
        <f>G281-H280</f>
        <v>5437709.0909090918</v>
      </c>
    </row>
    <row r="282" spans="1:8" ht="17.100000000000001" customHeight="1"/>
    <row r="283" spans="1:8" ht="50.1" customHeight="1">
      <c r="A283" s="174" t="s">
        <v>1</v>
      </c>
      <c r="B283" s="174" t="s">
        <v>100</v>
      </c>
      <c r="C283" s="174" t="s">
        <v>106</v>
      </c>
      <c r="D283" s="174" t="s">
        <v>95</v>
      </c>
      <c r="E283" s="174" t="s">
        <v>101</v>
      </c>
      <c r="F283" s="172" t="s">
        <v>54</v>
      </c>
      <c r="G283" s="172" t="s">
        <v>55</v>
      </c>
      <c r="H283" s="172" t="s">
        <v>56</v>
      </c>
    </row>
    <row r="284" spans="1:8" ht="17.100000000000001" customHeight="1">
      <c r="A284" s="170" t="s">
        <v>38</v>
      </c>
      <c r="B284" s="170" t="s">
        <v>39</v>
      </c>
      <c r="C284" s="170" t="s">
        <v>40</v>
      </c>
      <c r="D284" s="170" t="s">
        <v>105</v>
      </c>
      <c r="E284" s="170" t="s">
        <v>425</v>
      </c>
      <c r="F284" s="83">
        <v>10</v>
      </c>
      <c r="G284" s="83">
        <v>11</v>
      </c>
      <c r="H284" s="83">
        <v>12</v>
      </c>
    </row>
    <row r="285" spans="1:8" ht="17.100000000000001" customHeight="1">
      <c r="A285" s="176">
        <v>1</v>
      </c>
      <c r="B285" s="171" t="s">
        <v>281</v>
      </c>
      <c r="C285" s="264">
        <f>C276</f>
        <v>15</v>
      </c>
      <c r="D285" s="266">
        <f>D276</f>
        <v>11111636.363636363</v>
      </c>
      <c r="E285" s="110">
        <f>1/C285</f>
        <v>6.6666666666666666E-2</v>
      </c>
      <c r="F285" s="47">
        <f>E285*D285</f>
        <v>740775.75757575757</v>
      </c>
      <c r="G285" s="48">
        <f>F285</f>
        <v>740775.75757575757</v>
      </c>
      <c r="H285" s="48">
        <f>G285</f>
        <v>740775.75757575757</v>
      </c>
    </row>
    <row r="286" spans="1:8" ht="17.100000000000001" customHeight="1">
      <c r="A286" s="176">
        <v>2</v>
      </c>
      <c r="B286" s="171" t="s">
        <v>173</v>
      </c>
      <c r="C286" s="264">
        <f t="shared" ref="C286:C288" si="218">C277</f>
        <v>6</v>
      </c>
      <c r="D286" s="266">
        <f t="shared" ref="D286:D288" si="219">D277</f>
        <v>3078545.4545454541</v>
      </c>
      <c r="E286" s="110">
        <f t="shared" ref="E286:E288" si="220">1/C286</f>
        <v>0.16666666666666666</v>
      </c>
      <c r="F286" s="47">
        <v>0</v>
      </c>
      <c r="G286" s="48">
        <v>0</v>
      </c>
      <c r="H286" s="48">
        <f t="shared" ref="H286" si="221">G286</f>
        <v>0</v>
      </c>
    </row>
    <row r="287" spans="1:8" ht="17.100000000000001" customHeight="1">
      <c r="A287" s="176">
        <v>3</v>
      </c>
      <c r="B287" s="171" t="s">
        <v>456</v>
      </c>
      <c r="C287" s="264">
        <f t="shared" si="218"/>
        <v>10</v>
      </c>
      <c r="D287" s="266">
        <f t="shared" si="219"/>
        <v>9930545.4545454532</v>
      </c>
      <c r="E287" s="253">
        <f t="shared" si="220"/>
        <v>0.1</v>
      </c>
      <c r="F287" s="47">
        <f t="shared" ref="F287" si="222">E287*D287</f>
        <v>993054.54545454541</v>
      </c>
      <c r="G287" s="48">
        <v>0</v>
      </c>
      <c r="H287" s="48">
        <f t="shared" ref="H287" si="223">G287</f>
        <v>0</v>
      </c>
    </row>
    <row r="288" spans="1:8" ht="17.100000000000001" customHeight="1">
      <c r="A288" s="176">
        <v>4</v>
      </c>
      <c r="B288" s="171" t="s">
        <v>434</v>
      </c>
      <c r="C288" s="264">
        <f t="shared" si="218"/>
        <v>6</v>
      </c>
      <c r="D288" s="266">
        <f t="shared" si="219"/>
        <v>3331671.1363636362</v>
      </c>
      <c r="E288" s="110">
        <f t="shared" si="220"/>
        <v>0.16666666666666666</v>
      </c>
      <c r="F288" s="47">
        <v>0</v>
      </c>
      <c r="G288" s="48">
        <v>0</v>
      </c>
      <c r="H288" s="48">
        <f t="shared" ref="H288" si="224">G288</f>
        <v>0</v>
      </c>
    </row>
    <row r="289" spans="1:8" ht="17.100000000000001" customHeight="1">
      <c r="A289" s="176"/>
      <c r="B289" s="170" t="s">
        <v>103</v>
      </c>
      <c r="C289" s="265"/>
      <c r="D289" s="267">
        <f>SUM(D285:D288)</f>
        <v>27452398.409090906</v>
      </c>
      <c r="E289" s="15"/>
      <c r="F289" s="49">
        <f>SUM(F285:F288)</f>
        <v>1733830.303030303</v>
      </c>
      <c r="G289" s="49">
        <f t="shared" ref="G289" si="225">SUM(G285:G288)</f>
        <v>740775.75757575757</v>
      </c>
      <c r="H289" s="49">
        <f t="shared" ref="H289" si="226">SUM(H285:H288)</f>
        <v>740775.75757575757</v>
      </c>
    </row>
    <row r="290" spans="1:8" ht="17.100000000000001" customHeight="1">
      <c r="A290" s="95"/>
      <c r="B290" s="83" t="s">
        <v>104</v>
      </c>
      <c r="C290" s="315"/>
      <c r="D290" s="315"/>
      <c r="E290" s="15"/>
      <c r="F290" s="49">
        <f>H281-F289</f>
        <v>3703878.787878789</v>
      </c>
      <c r="G290" s="49">
        <f>F290-G289</f>
        <v>2963103.0303030312</v>
      </c>
      <c r="H290" s="49">
        <f>G290-H289</f>
        <v>2222327.2727272734</v>
      </c>
    </row>
    <row r="291" spans="1:8" ht="17.100000000000001" customHeight="1"/>
    <row r="292" spans="1:8" ht="50.1" customHeight="1">
      <c r="A292" s="174" t="s">
        <v>1</v>
      </c>
      <c r="B292" s="174" t="s">
        <v>100</v>
      </c>
      <c r="C292" s="174" t="s">
        <v>106</v>
      </c>
      <c r="D292" s="174" t="s">
        <v>95</v>
      </c>
      <c r="E292" s="174" t="s">
        <v>101</v>
      </c>
      <c r="F292" s="172" t="s">
        <v>57</v>
      </c>
      <c r="G292" s="172" t="s">
        <v>58</v>
      </c>
      <c r="H292" s="172" t="s">
        <v>59</v>
      </c>
    </row>
    <row r="293" spans="1:8" ht="17.100000000000001" customHeight="1">
      <c r="A293" s="170" t="s">
        <v>38</v>
      </c>
      <c r="B293" s="170" t="s">
        <v>39</v>
      </c>
      <c r="C293" s="170" t="s">
        <v>40</v>
      </c>
      <c r="D293" s="170" t="s">
        <v>105</v>
      </c>
      <c r="E293" s="170" t="s">
        <v>425</v>
      </c>
      <c r="F293" s="83">
        <v>13</v>
      </c>
      <c r="G293" s="83">
        <v>14</v>
      </c>
      <c r="H293" s="83">
        <v>15</v>
      </c>
    </row>
    <row r="294" spans="1:8" ht="17.100000000000001" customHeight="1">
      <c r="A294" s="176">
        <v>1</v>
      </c>
      <c r="B294" s="171" t="s">
        <v>281</v>
      </c>
      <c r="C294" s="264">
        <f>C285</f>
        <v>15</v>
      </c>
      <c r="D294" s="266">
        <f>D285</f>
        <v>11111636.363636363</v>
      </c>
      <c r="E294" s="110">
        <f>1/C294</f>
        <v>6.6666666666666666E-2</v>
      </c>
      <c r="F294" s="47">
        <f>E294*D294</f>
        <v>740775.75757575757</v>
      </c>
      <c r="G294" s="48">
        <f>F294</f>
        <v>740775.75757575757</v>
      </c>
      <c r="H294" s="48">
        <f>G294</f>
        <v>740775.75757575757</v>
      </c>
    </row>
    <row r="295" spans="1:8" ht="17.100000000000001" customHeight="1">
      <c r="A295" s="176">
        <v>2</v>
      </c>
      <c r="B295" s="171" t="s">
        <v>173</v>
      </c>
      <c r="C295" s="264">
        <f t="shared" ref="C295:C297" si="227">C286</f>
        <v>6</v>
      </c>
      <c r="D295" s="266">
        <f t="shared" ref="D295:D297" si="228">D286</f>
        <v>3078545.4545454541</v>
      </c>
      <c r="E295" s="110">
        <f t="shared" ref="E295:E297" si="229">1/C295</f>
        <v>0.16666666666666666</v>
      </c>
      <c r="F295" s="47">
        <v>0</v>
      </c>
      <c r="G295" s="48">
        <f t="shared" ref="G295:H295" si="230">F295</f>
        <v>0</v>
      </c>
      <c r="H295" s="48">
        <f t="shared" si="230"/>
        <v>0</v>
      </c>
    </row>
    <row r="296" spans="1:8" ht="17.100000000000001" customHeight="1">
      <c r="A296" s="176">
        <v>3</v>
      </c>
      <c r="B296" s="171" t="s">
        <v>456</v>
      </c>
      <c r="C296" s="264">
        <f t="shared" si="227"/>
        <v>10</v>
      </c>
      <c r="D296" s="266">
        <f t="shared" si="228"/>
        <v>9930545.4545454532</v>
      </c>
      <c r="E296" s="253">
        <f t="shared" si="229"/>
        <v>0.1</v>
      </c>
      <c r="F296" s="47">
        <v>0</v>
      </c>
      <c r="G296" s="48">
        <f t="shared" ref="G296:H296" si="231">F296</f>
        <v>0</v>
      </c>
      <c r="H296" s="48">
        <f t="shared" si="231"/>
        <v>0</v>
      </c>
    </row>
    <row r="297" spans="1:8" ht="17.100000000000001" customHeight="1">
      <c r="A297" s="176">
        <v>4</v>
      </c>
      <c r="B297" s="171" t="s">
        <v>434</v>
      </c>
      <c r="C297" s="264">
        <f t="shared" si="227"/>
        <v>6</v>
      </c>
      <c r="D297" s="266">
        <f t="shared" si="228"/>
        <v>3331671.1363636362</v>
      </c>
      <c r="E297" s="110">
        <f t="shared" si="229"/>
        <v>0.16666666666666666</v>
      </c>
      <c r="F297" s="47">
        <v>0</v>
      </c>
      <c r="G297" s="48">
        <f t="shared" ref="G297:H297" si="232">F297</f>
        <v>0</v>
      </c>
      <c r="H297" s="48">
        <f t="shared" si="232"/>
        <v>0</v>
      </c>
    </row>
    <row r="298" spans="1:8" ht="17.100000000000001" customHeight="1">
      <c r="A298" s="176"/>
      <c r="B298" s="170" t="s">
        <v>103</v>
      </c>
      <c r="C298" s="265"/>
      <c r="D298" s="267">
        <f>SUM(D294:D297)</f>
        <v>27452398.409090906</v>
      </c>
      <c r="E298" s="15"/>
      <c r="F298" s="49">
        <f>SUM(F294:F297)</f>
        <v>740775.75757575757</v>
      </c>
      <c r="G298" s="49">
        <f t="shared" ref="G298" si="233">SUM(G294:G297)</f>
        <v>740775.75757575757</v>
      </c>
      <c r="H298" s="49">
        <f t="shared" ref="H298" si="234">SUM(H294:H297)</f>
        <v>740775.75757575757</v>
      </c>
    </row>
    <row r="299" spans="1:8" ht="17.100000000000001" customHeight="1">
      <c r="A299" s="95"/>
      <c r="B299" s="83" t="s">
        <v>104</v>
      </c>
      <c r="C299" s="315"/>
      <c r="D299" s="315"/>
      <c r="E299" s="15"/>
      <c r="F299" s="49">
        <f>H290-F298</f>
        <v>1481551.5151515158</v>
      </c>
      <c r="G299" s="49">
        <f>F299-G298</f>
        <v>740775.75757575827</v>
      </c>
      <c r="H299" s="49">
        <f>G299-H298</f>
        <v>0</v>
      </c>
    </row>
    <row r="300" spans="1:8" ht="17.100000000000001" customHeight="1"/>
    <row r="301" spans="1:8" ht="17.100000000000001" customHeight="1">
      <c r="A301" s="120" t="s">
        <v>361</v>
      </c>
      <c r="B301" s="119"/>
      <c r="C301" s="119"/>
      <c r="D301" s="119"/>
    </row>
    <row r="302" spans="1:8" ht="17.100000000000001" customHeight="1">
      <c r="A302" s="308" t="s">
        <v>363</v>
      </c>
      <c r="B302" s="308"/>
      <c r="C302" s="308"/>
      <c r="D302" s="119"/>
      <c r="E302" s="215">
        <v>21098</v>
      </c>
      <c r="F302" s="1" t="s">
        <v>357</v>
      </c>
    </row>
    <row r="303" spans="1:8" ht="17.100000000000001" customHeight="1">
      <c r="A303" s="308" t="s">
        <v>358</v>
      </c>
      <c r="B303" s="308"/>
      <c r="C303" s="308"/>
      <c r="D303" s="119"/>
      <c r="E303" s="214">
        <v>11040</v>
      </c>
      <c r="F303" s="1" t="s">
        <v>359</v>
      </c>
    </row>
    <row r="304" spans="1:8" ht="17.100000000000001" customHeight="1">
      <c r="A304" s="308" t="s">
        <v>360</v>
      </c>
      <c r="B304" s="308"/>
      <c r="C304" s="308"/>
      <c r="D304" s="308"/>
      <c r="E304" s="5">
        <v>0.05</v>
      </c>
      <c r="F304" s="1" t="s">
        <v>72</v>
      </c>
    </row>
    <row r="305" spans="1:13" ht="17.100000000000001" customHeight="1">
      <c r="A305" s="119"/>
      <c r="B305" s="119"/>
      <c r="C305" s="119"/>
      <c r="D305" s="119"/>
    </row>
    <row r="306" spans="1:13">
      <c r="A306" s="314" t="s">
        <v>261</v>
      </c>
      <c r="B306" s="314"/>
      <c r="C306" s="314"/>
      <c r="D306" s="314"/>
      <c r="E306" s="314"/>
      <c r="F306" s="314"/>
      <c r="G306" s="314"/>
      <c r="H306" s="314"/>
    </row>
    <row r="307" spans="1:13">
      <c r="A307" s="89" t="s">
        <v>117</v>
      </c>
      <c r="B307" s="89"/>
      <c r="C307" s="89"/>
      <c r="D307" s="96">
        <v>15</v>
      </c>
      <c r="E307" s="1" t="s">
        <v>118</v>
      </c>
    </row>
    <row r="308" spans="1:13">
      <c r="A308" s="89" t="s">
        <v>119</v>
      </c>
      <c r="B308" s="89"/>
      <c r="C308" s="89"/>
      <c r="D308" s="5">
        <v>0.2</v>
      </c>
    </row>
    <row r="309" spans="1:13">
      <c r="A309" s="322" t="s">
        <v>264</v>
      </c>
      <c r="B309" s="322"/>
      <c r="C309" s="322"/>
      <c r="D309" s="322"/>
      <c r="E309" s="322"/>
      <c r="F309" s="322"/>
      <c r="G309" s="322"/>
      <c r="H309" s="322"/>
    </row>
    <row r="310" spans="1:13">
      <c r="A310" s="89"/>
      <c r="B310" s="89"/>
      <c r="C310" s="89"/>
      <c r="G310" s="29" t="s">
        <v>60</v>
      </c>
      <c r="H310" s="30" t="s">
        <v>61</v>
      </c>
    </row>
    <row r="311" spans="1:13" ht="18" customHeight="1">
      <c r="A311" s="209" t="s">
        <v>1</v>
      </c>
      <c r="B311" s="311" t="s">
        <v>120</v>
      </c>
      <c r="C311" s="311"/>
      <c r="D311" s="209" t="s">
        <v>33</v>
      </c>
      <c r="E311" s="209" t="s">
        <v>34</v>
      </c>
      <c r="F311" s="209" t="s">
        <v>35</v>
      </c>
      <c r="G311" s="209" t="s">
        <v>36</v>
      </c>
      <c r="H311" s="209" t="s">
        <v>37</v>
      </c>
    </row>
    <row r="312" spans="1:13" ht="18" customHeight="1">
      <c r="A312" s="90" t="s">
        <v>41</v>
      </c>
      <c r="B312" s="312" t="s">
        <v>121</v>
      </c>
      <c r="C312" s="312"/>
      <c r="D312" s="58">
        <f>D85</f>
        <v>16596000</v>
      </c>
      <c r="E312" s="58">
        <f t="shared" ref="E312:H312" si="235">E85</f>
        <v>19230615</v>
      </c>
      <c r="F312" s="58">
        <f t="shared" si="235"/>
        <v>22008370.5</v>
      </c>
      <c r="G312" s="58">
        <f t="shared" si="235"/>
        <v>24935483.776500002</v>
      </c>
      <c r="H312" s="58">
        <f t="shared" si="235"/>
        <v>28018416.316140011</v>
      </c>
      <c r="J312" s="112">
        <v>127906739</v>
      </c>
      <c r="K312" s="112">
        <v>138331139</v>
      </c>
      <c r="L312" s="112">
        <v>149605126</v>
      </c>
      <c r="M312" s="112">
        <v>161797944</v>
      </c>
    </row>
    <row r="313" spans="1:13" ht="18" customHeight="1">
      <c r="A313" s="59" t="s">
        <v>43</v>
      </c>
      <c r="B313" s="309" t="s">
        <v>122</v>
      </c>
      <c r="C313" s="309"/>
      <c r="D313" s="60">
        <f>SUM(D314:D316)</f>
        <v>13792281.654848484</v>
      </c>
      <c r="E313" s="60">
        <f>SUM(E314:E316)</f>
        <v>15232634.004848484</v>
      </c>
      <c r="F313" s="60">
        <f>SUM(F314:F316)</f>
        <v>16749726.051848486</v>
      </c>
      <c r="G313" s="60">
        <f>SUM(G314:G316)</f>
        <v>18346865.860553488</v>
      </c>
      <c r="H313" s="60">
        <f>SUM(H314:H316)</f>
        <v>20027490.913823493</v>
      </c>
      <c r="J313" s="112">
        <f>J315+J316</f>
        <v>127058219</v>
      </c>
      <c r="K313" s="112">
        <f>K315+K316</f>
        <v>137222932</v>
      </c>
      <c r="L313" s="112">
        <f>L315+L316</f>
        <v>148212784</v>
      </c>
      <c r="M313" s="112">
        <f>M315+M316</f>
        <v>160094897</v>
      </c>
    </row>
    <row r="314" spans="1:13" ht="18" customHeight="1">
      <c r="A314" s="61">
        <v>1</v>
      </c>
      <c r="B314" s="310" t="s">
        <v>262</v>
      </c>
      <c r="C314" s="310"/>
      <c r="D314" s="115">
        <f>D223</f>
        <v>10757160</v>
      </c>
      <c r="E314" s="115">
        <f t="shared" ref="E314:H314" si="236">E223</f>
        <v>12197512.35</v>
      </c>
      <c r="F314" s="115">
        <f t="shared" si="236"/>
        <v>13714604.397000002</v>
      </c>
      <c r="G314" s="115">
        <f t="shared" si="236"/>
        <v>15311744.205705002</v>
      </c>
      <c r="H314" s="115">
        <f t="shared" si="236"/>
        <v>16992369.258975007</v>
      </c>
      <c r="J314" s="112"/>
      <c r="K314" s="112"/>
      <c r="L314" s="112"/>
      <c r="M314" s="112"/>
    </row>
    <row r="315" spans="1:13" ht="18" customHeight="1">
      <c r="A315" s="61">
        <v>2</v>
      </c>
      <c r="B315" s="310" t="s">
        <v>123</v>
      </c>
      <c r="C315" s="310"/>
      <c r="D315" s="268">
        <f>F262</f>
        <v>2802199.7348484844</v>
      </c>
      <c r="E315" s="269">
        <f>D315</f>
        <v>2802199.7348484844</v>
      </c>
      <c r="F315" s="269">
        <f t="shared" ref="F315:H316" si="237">E315</f>
        <v>2802199.7348484844</v>
      </c>
      <c r="G315" s="269">
        <f t="shared" si="237"/>
        <v>2802199.7348484844</v>
      </c>
      <c r="H315" s="269">
        <f t="shared" si="237"/>
        <v>2802199.7348484844</v>
      </c>
      <c r="J315" s="111">
        <v>125839136</v>
      </c>
      <c r="K315" s="111">
        <v>136003849</v>
      </c>
      <c r="L315" s="111">
        <v>146993701</v>
      </c>
      <c r="M315" s="111">
        <v>158875814</v>
      </c>
    </row>
    <row r="316" spans="1:13" ht="18" customHeight="1">
      <c r="A316" s="61">
        <v>3</v>
      </c>
      <c r="B316" s="310" t="s">
        <v>124</v>
      </c>
      <c r="C316" s="310"/>
      <c r="D316" s="216">
        <f>E302*E303/1000</f>
        <v>232921.92</v>
      </c>
      <c r="E316" s="217">
        <f>D316</f>
        <v>232921.92</v>
      </c>
      <c r="F316" s="217">
        <f t="shared" si="237"/>
        <v>232921.92</v>
      </c>
      <c r="G316" s="217">
        <f t="shared" si="237"/>
        <v>232921.92</v>
      </c>
      <c r="H316" s="217">
        <f t="shared" si="237"/>
        <v>232921.92</v>
      </c>
      <c r="J316" s="111">
        <v>1219083</v>
      </c>
      <c r="K316" s="111">
        <f>J316</f>
        <v>1219083</v>
      </c>
      <c r="L316" s="111">
        <f>K316</f>
        <v>1219083</v>
      </c>
      <c r="M316" s="111">
        <f>L316</f>
        <v>1219083</v>
      </c>
    </row>
    <row r="317" spans="1:13" ht="18" customHeight="1">
      <c r="A317" s="59" t="s">
        <v>125</v>
      </c>
      <c r="B317" s="309" t="s">
        <v>129</v>
      </c>
      <c r="C317" s="309"/>
      <c r="D317" s="64">
        <f>D312-D313</f>
        <v>2803718.3451515157</v>
      </c>
      <c r="E317" s="64">
        <f t="shared" ref="E317:H317" si="238">E312-E313</f>
        <v>3997980.9951515161</v>
      </c>
      <c r="F317" s="64">
        <f t="shared" si="238"/>
        <v>5258644.4481515139</v>
      </c>
      <c r="G317" s="64">
        <f t="shared" si="238"/>
        <v>6588617.9159465134</v>
      </c>
      <c r="H317" s="64">
        <f t="shared" si="238"/>
        <v>7990925.4023165181</v>
      </c>
      <c r="J317" s="113">
        <f>J315/J312</f>
        <v>0.98383507377199253</v>
      </c>
      <c r="K317" s="113">
        <f>K315/K312</f>
        <v>0.98317594999344293</v>
      </c>
      <c r="L317" s="113">
        <f t="shared" ref="L317:M317" si="239">L315/L312</f>
        <v>0.9825445486406662</v>
      </c>
      <c r="M317" s="113">
        <f t="shared" si="239"/>
        <v>0.98193963453577626</v>
      </c>
    </row>
    <row r="318" spans="1:13" ht="18" customHeight="1">
      <c r="A318" s="61"/>
      <c r="B318" s="310" t="s">
        <v>126</v>
      </c>
      <c r="C318" s="310"/>
      <c r="D318" s="65">
        <f>D317*$D$308</f>
        <v>560743.66903030314</v>
      </c>
      <c r="E318" s="65">
        <f t="shared" ref="E318:H318" si="240">E317*$D$308</f>
        <v>799596.19903030328</v>
      </c>
      <c r="F318" s="65">
        <f t="shared" si="240"/>
        <v>1051728.8896303028</v>
      </c>
      <c r="G318" s="65">
        <f t="shared" si="240"/>
        <v>1317723.5831893028</v>
      </c>
      <c r="H318" s="65">
        <f t="shared" si="240"/>
        <v>1598185.0804633037</v>
      </c>
      <c r="I318" s="94" t="s">
        <v>176</v>
      </c>
      <c r="J318" s="114">
        <f>1-J317</f>
        <v>1.616492622800747E-2</v>
      </c>
      <c r="K318" s="114">
        <f t="shared" ref="K318:M318" si="241">1-K317</f>
        <v>1.6824050006557068E-2</v>
      </c>
      <c r="L318" s="114">
        <f t="shared" si="241"/>
        <v>1.7455451359333796E-2</v>
      </c>
      <c r="M318" s="114">
        <f t="shared" si="241"/>
        <v>1.8060365464223738E-2</v>
      </c>
    </row>
    <row r="319" spans="1:13" ht="18" customHeight="1">
      <c r="A319" s="59" t="s">
        <v>127</v>
      </c>
      <c r="B319" s="309" t="s">
        <v>128</v>
      </c>
      <c r="C319" s="309"/>
      <c r="D319" s="64">
        <f>D317-D318</f>
        <v>2242974.6761212125</v>
      </c>
      <c r="E319" s="64">
        <f t="shared" ref="E319:H319" si="242">E317-E318</f>
        <v>3198384.7961212127</v>
      </c>
      <c r="F319" s="64">
        <f t="shared" si="242"/>
        <v>4206915.5585212111</v>
      </c>
      <c r="G319" s="64">
        <f t="shared" si="242"/>
        <v>5270894.3327572104</v>
      </c>
      <c r="H319" s="64">
        <f t="shared" si="242"/>
        <v>6392740.3218532149</v>
      </c>
    </row>
    <row r="320" spans="1:13" ht="18" customHeight="1">
      <c r="B320" s="313"/>
      <c r="C320" s="313"/>
      <c r="J320" s="113">
        <f>J313/J312</f>
        <v>0.99336610403303305</v>
      </c>
      <c r="K320" s="113">
        <f t="shared" ref="K320:M320" si="243">K313/K312</f>
        <v>0.99198873798039067</v>
      </c>
      <c r="L320" s="113">
        <f t="shared" si="243"/>
        <v>0.99069321996359938</v>
      </c>
      <c r="M320" s="113">
        <f t="shared" si="243"/>
        <v>0.98947423584072247</v>
      </c>
    </row>
    <row r="321" spans="1:13" ht="18" customHeight="1">
      <c r="A321" s="209" t="s">
        <v>1</v>
      </c>
      <c r="B321" s="311" t="s">
        <v>120</v>
      </c>
      <c r="C321" s="311"/>
      <c r="D321" s="209" t="s">
        <v>50</v>
      </c>
      <c r="E321" s="209" t="s">
        <v>51</v>
      </c>
      <c r="F321" s="209" t="s">
        <v>52</v>
      </c>
      <c r="G321" s="209" t="s">
        <v>53</v>
      </c>
      <c r="H321" s="209" t="s">
        <v>54</v>
      </c>
      <c r="J321" s="113"/>
      <c r="K321" s="113"/>
      <c r="L321" s="113"/>
      <c r="M321" s="113"/>
    </row>
    <row r="322" spans="1:13" ht="18" customHeight="1">
      <c r="A322" s="230" t="s">
        <v>41</v>
      </c>
      <c r="B322" s="312" t="s">
        <v>121</v>
      </c>
      <c r="C322" s="312"/>
      <c r="D322" s="58">
        <f>D123</f>
        <v>30301917.245905414</v>
      </c>
      <c r="E322" s="58">
        <f t="shared" ref="E322:H322" si="244">E123</f>
        <v>32862477.768804438</v>
      </c>
      <c r="F322" s="58">
        <f t="shared" si="244"/>
        <v>35753203.362075806</v>
      </c>
      <c r="G322" s="58">
        <f t="shared" si="244"/>
        <v>39051843.43056459</v>
      </c>
      <c r="H322" s="58">
        <f t="shared" si="244"/>
        <v>42871474.961360164</v>
      </c>
      <c r="J322" s="113"/>
      <c r="K322" s="113"/>
      <c r="L322" s="113"/>
      <c r="M322" s="113"/>
    </row>
    <row r="323" spans="1:13" ht="18" customHeight="1">
      <c r="A323" s="59" t="s">
        <v>43</v>
      </c>
      <c r="B323" s="309" t="s">
        <v>122</v>
      </c>
      <c r="C323" s="309"/>
      <c r="D323" s="60">
        <f>SUM(D324:D326)</f>
        <v>21303654.632939827</v>
      </c>
      <c r="E323" s="60">
        <f>SUM(E324:E326)</f>
        <v>21623181.871864129</v>
      </c>
      <c r="F323" s="60">
        <f>SUM(F324:F326)</f>
        <v>23155366.347174775</v>
      </c>
      <c r="G323" s="60">
        <f>SUM(G324:G326)</f>
        <v>24862139.510259468</v>
      </c>
      <c r="H323" s="60">
        <f>SUM(H324:H326)</f>
        <v>26787255.149568781</v>
      </c>
      <c r="J323" s="113"/>
      <c r="K323" s="113"/>
      <c r="L323" s="113"/>
      <c r="M323" s="113"/>
    </row>
    <row r="324" spans="1:13" ht="18" customHeight="1">
      <c r="A324" s="61">
        <v>1</v>
      </c>
      <c r="B324" s="310" t="s">
        <v>262</v>
      </c>
      <c r="C324" s="310"/>
      <c r="D324" s="115">
        <f>D236</f>
        <v>18256886.882091343</v>
      </c>
      <c r="E324" s="115">
        <f t="shared" ref="E324:H324" si="245">E236</f>
        <v>19644783.552833825</v>
      </c>
      <c r="F324" s="115">
        <f t="shared" si="245"/>
        <v>21176968.028144471</v>
      </c>
      <c r="G324" s="115">
        <f t="shared" si="245"/>
        <v>22883741.191229165</v>
      </c>
      <c r="H324" s="115">
        <f t="shared" si="245"/>
        <v>24808856.830538478</v>
      </c>
      <c r="J324" s="113"/>
      <c r="K324" s="113"/>
      <c r="L324" s="113"/>
      <c r="M324" s="113"/>
    </row>
    <row r="325" spans="1:13" ht="18" customHeight="1">
      <c r="A325" s="61">
        <v>2</v>
      </c>
      <c r="B325" s="310" t="s">
        <v>123</v>
      </c>
      <c r="C325" s="310"/>
      <c r="D325" s="268">
        <f>H271</f>
        <v>2802199.7348484844</v>
      </c>
      <c r="E325" s="269">
        <f>F280</f>
        <v>1733830.303030303</v>
      </c>
      <c r="F325" s="269">
        <f t="shared" ref="F325:F326" si="246">E325</f>
        <v>1733830.303030303</v>
      </c>
      <c r="G325" s="269">
        <f t="shared" ref="G325:G326" si="247">F325</f>
        <v>1733830.303030303</v>
      </c>
      <c r="H325" s="269">
        <f t="shared" ref="H325:H326" si="248">G325</f>
        <v>1733830.303030303</v>
      </c>
      <c r="J325" s="113"/>
      <c r="K325" s="113"/>
      <c r="L325" s="113"/>
      <c r="M325" s="113"/>
    </row>
    <row r="326" spans="1:13" ht="18" customHeight="1">
      <c r="A326" s="61">
        <v>3</v>
      </c>
      <c r="B326" s="310" t="s">
        <v>124</v>
      </c>
      <c r="C326" s="310"/>
      <c r="D326" s="216">
        <f>D316*(1+E304)</f>
        <v>244568.01600000003</v>
      </c>
      <c r="E326" s="217">
        <f>D326</f>
        <v>244568.01600000003</v>
      </c>
      <c r="F326" s="217">
        <f t="shared" si="246"/>
        <v>244568.01600000003</v>
      </c>
      <c r="G326" s="217">
        <f t="shared" si="247"/>
        <v>244568.01600000003</v>
      </c>
      <c r="H326" s="217">
        <f t="shared" si="248"/>
        <v>244568.01600000003</v>
      </c>
      <c r="J326" s="113"/>
      <c r="K326" s="113"/>
      <c r="L326" s="113"/>
      <c r="M326" s="113"/>
    </row>
    <row r="327" spans="1:13" ht="18" customHeight="1">
      <c r="A327" s="59" t="s">
        <v>125</v>
      </c>
      <c r="B327" s="309" t="s">
        <v>129</v>
      </c>
      <c r="C327" s="309"/>
      <c r="D327" s="64">
        <f>D322-D323</f>
        <v>8998262.6129655875</v>
      </c>
      <c r="E327" s="64">
        <f t="shared" ref="E327:H327" si="249">E322-E323</f>
        <v>11239295.89694031</v>
      </c>
      <c r="F327" s="64">
        <f t="shared" si="249"/>
        <v>12597837.014901031</v>
      </c>
      <c r="G327" s="64">
        <f t="shared" si="249"/>
        <v>14189703.920305122</v>
      </c>
      <c r="H327" s="64">
        <f t="shared" si="249"/>
        <v>16084219.811791383</v>
      </c>
      <c r="J327" s="113"/>
      <c r="K327" s="113"/>
      <c r="L327" s="113"/>
      <c r="M327" s="113"/>
    </row>
    <row r="328" spans="1:13" ht="18" customHeight="1">
      <c r="A328" s="61"/>
      <c r="B328" s="310" t="s">
        <v>126</v>
      </c>
      <c r="C328" s="310"/>
      <c r="D328" s="65">
        <f>D327*$D$308</f>
        <v>1799652.5225931176</v>
      </c>
      <c r="E328" s="65">
        <f t="shared" ref="E328:H328" si="250">E327*$D$308</f>
        <v>2247859.1793880621</v>
      </c>
      <c r="F328" s="65">
        <f t="shared" si="250"/>
        <v>2519567.4029802065</v>
      </c>
      <c r="G328" s="65">
        <f t="shared" si="250"/>
        <v>2837940.7840610244</v>
      </c>
      <c r="H328" s="65">
        <f t="shared" si="250"/>
        <v>3216843.9623582768</v>
      </c>
      <c r="J328" s="113"/>
      <c r="K328" s="113"/>
      <c r="L328" s="113"/>
      <c r="M328" s="113"/>
    </row>
    <row r="329" spans="1:13" ht="18" customHeight="1">
      <c r="A329" s="59" t="s">
        <v>127</v>
      </c>
      <c r="B329" s="309" t="s">
        <v>128</v>
      </c>
      <c r="C329" s="309"/>
      <c r="D329" s="64">
        <f>D327-D328</f>
        <v>7198610.0903724702</v>
      </c>
      <c r="E329" s="64">
        <f t="shared" ref="E329:H329" si="251">E327-E328</f>
        <v>8991436.7175522484</v>
      </c>
      <c r="F329" s="64">
        <f t="shared" si="251"/>
        <v>10078269.611920824</v>
      </c>
      <c r="G329" s="64">
        <f t="shared" si="251"/>
        <v>11351763.136244098</v>
      </c>
      <c r="H329" s="64">
        <f t="shared" si="251"/>
        <v>12867375.849433105</v>
      </c>
      <c r="J329" s="113"/>
      <c r="K329" s="113"/>
      <c r="L329" s="113"/>
      <c r="M329" s="113"/>
    </row>
    <row r="330" spans="1:13" ht="18" customHeight="1">
      <c r="A330" s="222"/>
      <c r="B330" s="222"/>
      <c r="C330" s="222"/>
      <c r="D330" s="222"/>
      <c r="J330" s="113"/>
      <c r="K330" s="113"/>
      <c r="L330" s="113"/>
      <c r="M330" s="113"/>
    </row>
    <row r="331" spans="1:13" ht="18" customHeight="1">
      <c r="A331" s="209" t="s">
        <v>1</v>
      </c>
      <c r="B331" s="311" t="s">
        <v>120</v>
      </c>
      <c r="C331" s="311"/>
      <c r="D331" s="209" t="s">
        <v>55</v>
      </c>
      <c r="E331" s="209" t="s">
        <v>56</v>
      </c>
      <c r="F331" s="209" t="s">
        <v>57</v>
      </c>
      <c r="G331" s="209" t="s">
        <v>58</v>
      </c>
      <c r="H331" s="209" t="s">
        <v>59</v>
      </c>
      <c r="J331" s="113"/>
      <c r="K331" s="113"/>
      <c r="L331" s="113"/>
      <c r="M331" s="113"/>
    </row>
    <row r="332" spans="1:13" ht="18" customHeight="1">
      <c r="A332" s="230" t="s">
        <v>41</v>
      </c>
      <c r="B332" s="312" t="s">
        <v>121</v>
      </c>
      <c r="C332" s="312"/>
      <c r="D332" s="58">
        <f>D161</f>
        <v>45275535.682948753</v>
      </c>
      <c r="E332" s="58">
        <f t="shared" ref="E332:H332" si="252">E161</f>
        <v>48240806.683012165</v>
      </c>
      <c r="F332" s="58">
        <f t="shared" si="252"/>
        <v>51963549.863780648</v>
      </c>
      <c r="G332" s="58">
        <f t="shared" si="252"/>
        <v>56734730.65352001</v>
      </c>
      <c r="H332" s="58">
        <f t="shared" si="252"/>
        <v>62989024.143804677</v>
      </c>
      <c r="J332" s="113"/>
      <c r="K332" s="113"/>
      <c r="L332" s="113"/>
      <c r="M332" s="113"/>
    </row>
    <row r="333" spans="1:13" ht="18" customHeight="1">
      <c r="A333" s="59" t="s">
        <v>43</v>
      </c>
      <c r="B333" s="309" t="s">
        <v>122</v>
      </c>
      <c r="C333" s="309"/>
      <c r="D333" s="60">
        <f>SUM(D334:D336)</f>
        <v>26975502.969474547</v>
      </c>
      <c r="E333" s="60">
        <f>SUM(E334:E336)</f>
        <v>28365502.76656599</v>
      </c>
      <c r="F333" s="60">
        <f>SUM(F334:F336)</f>
        <v>30051237.89683738</v>
      </c>
      <c r="G333" s="60">
        <f>SUM(G334:G336)</f>
        <v>32143512.100165088</v>
      </c>
      <c r="H333" s="60">
        <f>SUM(H334:H336)</f>
        <v>34807745.894796818</v>
      </c>
      <c r="J333" s="113"/>
      <c r="K333" s="113"/>
      <c r="L333" s="113"/>
      <c r="M333" s="113"/>
    </row>
    <row r="334" spans="1:13" ht="18" customHeight="1">
      <c r="A334" s="61">
        <v>1</v>
      </c>
      <c r="B334" s="310" t="s">
        <v>262</v>
      </c>
      <c r="C334" s="310"/>
      <c r="D334" s="115">
        <f>D249</f>
        <v>25977930.795098789</v>
      </c>
      <c r="E334" s="115">
        <f t="shared" ref="E334:H334" si="253">E249</f>
        <v>27367930.592190232</v>
      </c>
      <c r="F334" s="115">
        <f t="shared" si="253"/>
        <v>29053665.722461622</v>
      </c>
      <c r="G334" s="115">
        <f t="shared" si="253"/>
        <v>31145939.92578933</v>
      </c>
      <c r="H334" s="115">
        <f t="shared" si="253"/>
        <v>33810173.720421061</v>
      </c>
      <c r="J334" s="113"/>
      <c r="K334" s="113"/>
      <c r="L334" s="113"/>
      <c r="M334" s="113"/>
    </row>
    <row r="335" spans="1:13" ht="18" customHeight="1">
      <c r="A335" s="61">
        <v>2</v>
      </c>
      <c r="B335" s="310" t="s">
        <v>123</v>
      </c>
      <c r="C335" s="310"/>
      <c r="D335" s="268">
        <f>G289</f>
        <v>740775.75757575757</v>
      </c>
      <c r="E335" s="269">
        <f>D335</f>
        <v>740775.75757575757</v>
      </c>
      <c r="F335" s="269">
        <f t="shared" ref="F335:F336" si="254">E335</f>
        <v>740775.75757575757</v>
      </c>
      <c r="G335" s="269">
        <f t="shared" ref="G335:G336" si="255">F335</f>
        <v>740775.75757575757</v>
      </c>
      <c r="H335" s="269">
        <f t="shared" ref="H335:H336" si="256">G335</f>
        <v>740775.75757575757</v>
      </c>
      <c r="J335" s="113"/>
      <c r="K335" s="113"/>
      <c r="L335" s="113"/>
      <c r="M335" s="113"/>
    </row>
    <row r="336" spans="1:13" ht="18" customHeight="1">
      <c r="A336" s="61">
        <v>3</v>
      </c>
      <c r="B336" s="310" t="s">
        <v>124</v>
      </c>
      <c r="C336" s="310"/>
      <c r="D336" s="216">
        <f>D326*(1+E304)</f>
        <v>256796.41680000004</v>
      </c>
      <c r="E336" s="217">
        <f>D336</f>
        <v>256796.41680000004</v>
      </c>
      <c r="F336" s="217">
        <f t="shared" si="254"/>
        <v>256796.41680000004</v>
      </c>
      <c r="G336" s="217">
        <f t="shared" si="255"/>
        <v>256796.41680000004</v>
      </c>
      <c r="H336" s="217">
        <f t="shared" si="256"/>
        <v>256796.41680000004</v>
      </c>
      <c r="J336" s="113"/>
      <c r="K336" s="113"/>
      <c r="L336" s="113"/>
      <c r="M336" s="113"/>
    </row>
    <row r="337" spans="1:13" ht="18" customHeight="1">
      <c r="A337" s="59" t="s">
        <v>125</v>
      </c>
      <c r="B337" s="309" t="s">
        <v>129</v>
      </c>
      <c r="C337" s="309"/>
      <c r="D337" s="64">
        <f>D332-D333</f>
        <v>18300032.713474207</v>
      </c>
      <c r="E337" s="64">
        <f t="shared" ref="E337:H337" si="257">E332-E333</f>
        <v>19875303.916446175</v>
      </c>
      <c r="F337" s="64">
        <f t="shared" si="257"/>
        <v>21912311.966943268</v>
      </c>
      <c r="G337" s="64">
        <f t="shared" si="257"/>
        <v>24591218.553354923</v>
      </c>
      <c r="H337" s="64">
        <f t="shared" si="257"/>
        <v>28181278.249007858</v>
      </c>
      <c r="J337" s="113"/>
      <c r="K337" s="113"/>
      <c r="L337" s="113"/>
      <c r="M337" s="113"/>
    </row>
    <row r="338" spans="1:13" ht="18" customHeight="1">
      <c r="A338" s="61"/>
      <c r="B338" s="310" t="s">
        <v>126</v>
      </c>
      <c r="C338" s="310"/>
      <c r="D338" s="65">
        <f>D337*$D$308</f>
        <v>3660006.5426948415</v>
      </c>
      <c r="E338" s="65">
        <f t="shared" ref="E338:H338" si="258">E337*$D$308</f>
        <v>3975060.7832892351</v>
      </c>
      <c r="F338" s="65">
        <f t="shared" si="258"/>
        <v>4382462.3933886541</v>
      </c>
      <c r="G338" s="65">
        <f t="shared" si="258"/>
        <v>4918243.7106709844</v>
      </c>
      <c r="H338" s="65">
        <f t="shared" si="258"/>
        <v>5636255.6498015719</v>
      </c>
      <c r="J338" s="113"/>
      <c r="K338" s="113"/>
      <c r="L338" s="113"/>
      <c r="M338" s="113"/>
    </row>
    <row r="339" spans="1:13" ht="18" customHeight="1">
      <c r="A339" s="59" t="s">
        <v>127</v>
      </c>
      <c r="B339" s="309" t="s">
        <v>128</v>
      </c>
      <c r="C339" s="309"/>
      <c r="D339" s="64">
        <f>D337-D338</f>
        <v>14640026.170779366</v>
      </c>
      <c r="E339" s="64">
        <f t="shared" ref="E339:H339" si="259">E337-E338</f>
        <v>15900243.13315694</v>
      </c>
      <c r="F339" s="64">
        <f t="shared" si="259"/>
        <v>17529849.573554613</v>
      </c>
      <c r="G339" s="64">
        <f t="shared" si="259"/>
        <v>19672974.842683937</v>
      </c>
      <c r="H339" s="64">
        <f t="shared" si="259"/>
        <v>22545022.599206287</v>
      </c>
      <c r="J339" s="113"/>
      <c r="K339" s="113"/>
      <c r="L339" s="113"/>
      <c r="M339" s="113"/>
    </row>
    <row r="340" spans="1:13">
      <c r="A340" s="222"/>
      <c r="B340" s="222"/>
      <c r="C340" s="222"/>
      <c r="D340" s="222"/>
      <c r="J340" s="113"/>
      <c r="K340" s="113"/>
      <c r="L340" s="113"/>
      <c r="M340" s="113"/>
    </row>
    <row r="341" spans="1:13" ht="70.5" customHeight="1">
      <c r="A341" s="318" t="s">
        <v>495</v>
      </c>
      <c r="B341" s="318"/>
      <c r="C341" s="318"/>
      <c r="D341" s="318"/>
      <c r="E341" s="318"/>
      <c r="F341" s="318"/>
      <c r="G341" s="318"/>
      <c r="H341" s="318"/>
      <c r="J341" s="116">
        <f>1-J320</f>
        <v>6.6338959669669517E-3</v>
      </c>
      <c r="K341" s="116">
        <f t="shared" ref="K341:M341" si="260">1-K320</f>
        <v>8.0112620196093332E-3</v>
      </c>
      <c r="L341" s="116">
        <f t="shared" si="260"/>
        <v>9.3067800364006192E-3</v>
      </c>
      <c r="M341" s="116">
        <f t="shared" si="260"/>
        <v>1.0525764159277529E-2</v>
      </c>
    </row>
    <row r="342" spans="1:13">
      <c r="D342" s="117"/>
      <c r="E342" s="117"/>
      <c r="F342" s="117"/>
      <c r="G342" s="117"/>
      <c r="H342" s="117"/>
    </row>
  </sheetData>
  <mergeCells count="261">
    <mergeCell ref="B246:C246"/>
    <mergeCell ref="B247:C247"/>
    <mergeCell ref="A253:H253"/>
    <mergeCell ref="B333:C333"/>
    <mergeCell ref="B334:C334"/>
    <mergeCell ref="B335:C335"/>
    <mergeCell ref="A19:C19"/>
    <mergeCell ref="C281:D281"/>
    <mergeCell ref="C272:D272"/>
    <mergeCell ref="A210:H210"/>
    <mergeCell ref="A203:C203"/>
    <mergeCell ref="A206:C206"/>
    <mergeCell ref="A207:C207"/>
    <mergeCell ref="A208:C208"/>
    <mergeCell ref="A212:A213"/>
    <mergeCell ref="A225:A226"/>
    <mergeCell ref="B226:C226"/>
    <mergeCell ref="B227:C227"/>
    <mergeCell ref="B228:C228"/>
    <mergeCell ref="B229:C229"/>
    <mergeCell ref="B230:C230"/>
    <mergeCell ref="B231:C231"/>
    <mergeCell ref="B242:C242"/>
    <mergeCell ref="B218:C218"/>
    <mergeCell ref="B219:C219"/>
    <mergeCell ref="B220:C220"/>
    <mergeCell ref="B221:C221"/>
    <mergeCell ref="B222:C222"/>
    <mergeCell ref="B223:C223"/>
    <mergeCell ref="B240:C240"/>
    <mergeCell ref="B241:C241"/>
    <mergeCell ref="A252:H252"/>
    <mergeCell ref="B224:C224"/>
    <mergeCell ref="B225:C225"/>
    <mergeCell ref="E203:H203"/>
    <mergeCell ref="A204:C204"/>
    <mergeCell ref="A205:C205"/>
    <mergeCell ref="E204:H204"/>
    <mergeCell ref="E205:H205"/>
    <mergeCell ref="E206:H206"/>
    <mergeCell ref="E207:H207"/>
    <mergeCell ref="E208:H208"/>
    <mergeCell ref="B232:C232"/>
    <mergeCell ref="B233:C233"/>
    <mergeCell ref="B234:C234"/>
    <mergeCell ref="B235:C235"/>
    <mergeCell ref="B236:C236"/>
    <mergeCell ref="A238:A239"/>
    <mergeCell ref="B238:C238"/>
    <mergeCell ref="B239:C239"/>
    <mergeCell ref="B248:C248"/>
    <mergeCell ref="B249:C249"/>
    <mergeCell ref="B243:C243"/>
    <mergeCell ref="B244:C244"/>
    <mergeCell ref="B245:C245"/>
    <mergeCell ref="B160:C160"/>
    <mergeCell ref="B121:C121"/>
    <mergeCell ref="B122:C122"/>
    <mergeCell ref="B156:C156"/>
    <mergeCell ref="B157:C157"/>
    <mergeCell ref="B158:C158"/>
    <mergeCell ref="B159:C159"/>
    <mergeCell ref="B161:C161"/>
    <mergeCell ref="B197:C197"/>
    <mergeCell ref="B150:C150"/>
    <mergeCell ref="B151:C151"/>
    <mergeCell ref="B152:C152"/>
    <mergeCell ref="B153:C153"/>
    <mergeCell ref="B154:C154"/>
    <mergeCell ref="B155:C155"/>
    <mergeCell ref="A42:C42"/>
    <mergeCell ref="A43:C43"/>
    <mergeCell ref="A44:C44"/>
    <mergeCell ref="A45:C45"/>
    <mergeCell ref="B80:C80"/>
    <mergeCell ref="B81:C81"/>
    <mergeCell ref="B82:C82"/>
    <mergeCell ref="B83:C83"/>
    <mergeCell ref="B144:C144"/>
    <mergeCell ref="B145:C145"/>
    <mergeCell ref="B146:C146"/>
    <mergeCell ref="B147:C147"/>
    <mergeCell ref="B148:C148"/>
    <mergeCell ref="B149:C149"/>
    <mergeCell ref="B138:C138"/>
    <mergeCell ref="B139:C139"/>
    <mergeCell ref="B140:C140"/>
    <mergeCell ref="B141:C141"/>
    <mergeCell ref="B142:C142"/>
    <mergeCell ref="B143:C143"/>
    <mergeCell ref="B132:C132"/>
    <mergeCell ref="B133:C133"/>
    <mergeCell ref="B134:C134"/>
    <mergeCell ref="B135:C135"/>
    <mergeCell ref="B136:C136"/>
    <mergeCell ref="B137:C137"/>
    <mergeCell ref="A126:A127"/>
    <mergeCell ref="B126:C127"/>
    <mergeCell ref="B128:C128"/>
    <mergeCell ref="B129:C129"/>
    <mergeCell ref="B130:C130"/>
    <mergeCell ref="B131:C131"/>
    <mergeCell ref="B117:C117"/>
    <mergeCell ref="A50:A51"/>
    <mergeCell ref="B50:C51"/>
    <mergeCell ref="A88:A89"/>
    <mergeCell ref="B88:C89"/>
    <mergeCell ref="B123:C123"/>
    <mergeCell ref="B84:C84"/>
    <mergeCell ref="B118:C118"/>
    <mergeCell ref="B119:C119"/>
    <mergeCell ref="B120:C120"/>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90:C90"/>
    <mergeCell ref="B91:C91"/>
    <mergeCell ref="B92:C92"/>
    <mergeCell ref="B78:C78"/>
    <mergeCell ref="B79:C79"/>
    <mergeCell ref="B85:C85"/>
    <mergeCell ref="A47:C47"/>
    <mergeCell ref="B62:C62"/>
    <mergeCell ref="B67:C67"/>
    <mergeCell ref="B72:C72"/>
    <mergeCell ref="B77:C77"/>
    <mergeCell ref="B70:C70"/>
    <mergeCell ref="B71:C71"/>
    <mergeCell ref="B73:C73"/>
    <mergeCell ref="B74:C74"/>
    <mergeCell ref="B75:C75"/>
    <mergeCell ref="B76:C76"/>
    <mergeCell ref="B63:C63"/>
    <mergeCell ref="B64:C64"/>
    <mergeCell ref="B65:C65"/>
    <mergeCell ref="B66:C66"/>
    <mergeCell ref="B68:C68"/>
    <mergeCell ref="B69:C69"/>
    <mergeCell ref="B57:C57"/>
    <mergeCell ref="B58:C58"/>
    <mergeCell ref="B59:C59"/>
    <mergeCell ref="B60:C60"/>
    <mergeCell ref="B61:C61"/>
    <mergeCell ref="B52:C52"/>
    <mergeCell ref="B53:C53"/>
    <mergeCell ref="B54:C54"/>
    <mergeCell ref="B55:C55"/>
    <mergeCell ref="B56:C56"/>
    <mergeCell ref="A39:C39"/>
    <mergeCell ref="A40:C40"/>
    <mergeCell ref="A41:C41"/>
    <mergeCell ref="A38:H38"/>
    <mergeCell ref="A30:C30"/>
    <mergeCell ref="A31:C31"/>
    <mergeCell ref="A32:C32"/>
    <mergeCell ref="A33:C33"/>
    <mergeCell ref="A34:C34"/>
    <mergeCell ref="A35:C35"/>
    <mergeCell ref="A29:C29"/>
    <mergeCell ref="A16:C16"/>
    <mergeCell ref="A17:C17"/>
    <mergeCell ref="A18:C18"/>
    <mergeCell ref="A20:C20"/>
    <mergeCell ref="A22:C22"/>
    <mergeCell ref="A23:C23"/>
    <mergeCell ref="A36:C36"/>
    <mergeCell ref="A37:C37"/>
    <mergeCell ref="A15:C15"/>
    <mergeCell ref="B320:C320"/>
    <mergeCell ref="A7:H7"/>
    <mergeCell ref="A8:H8"/>
    <mergeCell ref="A9:H9"/>
    <mergeCell ref="A10:H10"/>
    <mergeCell ref="B315:C315"/>
    <mergeCell ref="B316:C316"/>
    <mergeCell ref="B317:C317"/>
    <mergeCell ref="B318:C318"/>
    <mergeCell ref="B319:C319"/>
    <mergeCell ref="A306:H306"/>
    <mergeCell ref="B311:C311"/>
    <mergeCell ref="B312:C312"/>
    <mergeCell ref="B313:C313"/>
    <mergeCell ref="B314:C314"/>
    <mergeCell ref="B195:C195"/>
    <mergeCell ref="C263:D263"/>
    <mergeCell ref="B214:C214"/>
    <mergeCell ref="A24:C24"/>
    <mergeCell ref="A25:C25"/>
    <mergeCell ref="A26:C26"/>
    <mergeCell ref="A27:C27"/>
    <mergeCell ref="A28:C28"/>
    <mergeCell ref="A341:H341"/>
    <mergeCell ref="A302:C302"/>
    <mergeCell ref="A303:C303"/>
    <mergeCell ref="A304:D304"/>
    <mergeCell ref="B322:C322"/>
    <mergeCell ref="B323:C323"/>
    <mergeCell ref="B324:C324"/>
    <mergeCell ref="B325:C325"/>
    <mergeCell ref="B326:C326"/>
    <mergeCell ref="B327:C327"/>
    <mergeCell ref="B328:C328"/>
    <mergeCell ref="B329:C329"/>
    <mergeCell ref="B331:C331"/>
    <mergeCell ref="B332:C332"/>
    <mergeCell ref="A309:H309"/>
    <mergeCell ref="A13:E13"/>
    <mergeCell ref="A14:H14"/>
    <mergeCell ref="A12:H12"/>
    <mergeCell ref="A11:H11"/>
    <mergeCell ref="A5:H5"/>
    <mergeCell ref="A6:B6"/>
    <mergeCell ref="A1:H1"/>
    <mergeCell ref="A2:H2"/>
    <mergeCell ref="A3:H3"/>
    <mergeCell ref="A4:C4"/>
    <mergeCell ref="B336:C336"/>
    <mergeCell ref="B337:C337"/>
    <mergeCell ref="B338:C338"/>
    <mergeCell ref="B339:C339"/>
    <mergeCell ref="A163:H163"/>
    <mergeCell ref="B187:C187"/>
    <mergeCell ref="B188:C188"/>
    <mergeCell ref="B189:C189"/>
    <mergeCell ref="B190:C190"/>
    <mergeCell ref="B192:C192"/>
    <mergeCell ref="B193:C193"/>
    <mergeCell ref="B194:C194"/>
    <mergeCell ref="B321:C321"/>
    <mergeCell ref="A164:H164"/>
    <mergeCell ref="B198:C198"/>
    <mergeCell ref="B199:C199"/>
    <mergeCell ref="B200:C200"/>
    <mergeCell ref="C299:D299"/>
    <mergeCell ref="C290:D290"/>
    <mergeCell ref="B212:C212"/>
    <mergeCell ref="B213:C213"/>
    <mergeCell ref="B215:C215"/>
    <mergeCell ref="B216:C216"/>
    <mergeCell ref="B217:C217"/>
  </mergeCells>
  <pageMargins left="0.70866141732283472" right="0.62992125984251968" top="0.74803149606299213" bottom="0.74803149606299213" header="0.31496062992125984" footer="0.31496062992125984"/>
  <pageSetup paperSize="9" scale="74" orientation="portrait" verticalDpi="0" r:id="rId1"/>
  <headerFooter>
    <oddFooter>&amp;R&amp;N</oddFooter>
  </headerFooter>
  <rowBreaks count="2" manualBreakCount="2">
    <brk id="170" max="9" man="1"/>
    <brk id="223" max="9" man="1"/>
  </rowBreaks>
</worksheet>
</file>

<file path=xl/worksheets/sheet4.xml><?xml version="1.0" encoding="utf-8"?>
<worksheet xmlns="http://schemas.openxmlformats.org/spreadsheetml/2006/main" xmlns:r="http://schemas.openxmlformats.org/officeDocument/2006/relationships">
  <dimension ref="A1:Q276"/>
  <sheetViews>
    <sheetView zoomScale="115" zoomScaleNormal="115" zoomScaleSheetLayoutView="115" zoomScalePageLayoutView="115" workbookViewId="0">
      <selection activeCell="D272" sqref="D272"/>
    </sheetView>
  </sheetViews>
  <sheetFormatPr defaultRowHeight="16.5"/>
  <cols>
    <col min="1" max="1" width="4.125" style="96" customWidth="1"/>
    <col min="2" max="2" width="28.25" style="96" customWidth="1"/>
    <col min="3" max="3" width="10.625" style="96" customWidth="1"/>
    <col min="4" max="4" width="12.625" style="96" customWidth="1"/>
    <col min="5" max="6" width="12.625" style="1" customWidth="1"/>
    <col min="7" max="7" width="12.625" style="4" customWidth="1"/>
    <col min="8" max="8" width="12.625" style="11" customWidth="1"/>
    <col min="9" max="9" width="9.875" style="1" hidden="1" customWidth="1"/>
    <col min="10" max="10" width="14.75" style="1" hidden="1" customWidth="1"/>
    <col min="11" max="11" width="16" style="1" hidden="1" customWidth="1"/>
    <col min="12" max="12" width="16.625" style="1" hidden="1" customWidth="1"/>
    <col min="13" max="13" width="15.75" style="1" hidden="1" customWidth="1"/>
    <col min="14" max="15" width="9" style="1"/>
    <col min="16" max="16" width="20" style="1" bestFit="1" customWidth="1"/>
    <col min="17" max="17" width="17.375" style="1" customWidth="1"/>
    <col min="18" max="16384" width="9" style="1"/>
  </cols>
  <sheetData>
    <row r="1" spans="1:8" ht="18.75">
      <c r="A1" s="325" t="s">
        <v>269</v>
      </c>
      <c r="B1" s="325"/>
      <c r="C1" s="325"/>
      <c r="D1" s="325"/>
      <c r="E1" s="325"/>
      <c r="F1" s="325"/>
      <c r="G1" s="325"/>
      <c r="H1" s="325"/>
    </row>
    <row r="2" spans="1:8">
      <c r="A2" s="314" t="s">
        <v>30</v>
      </c>
      <c r="B2" s="314"/>
      <c r="C2" s="314"/>
      <c r="D2" s="314"/>
      <c r="E2" s="314"/>
      <c r="F2" s="314"/>
      <c r="G2" s="314"/>
      <c r="H2" s="314"/>
    </row>
    <row r="3" spans="1:8" ht="33.75" customHeight="1">
      <c r="A3" s="318" t="s">
        <v>132</v>
      </c>
      <c r="B3" s="318"/>
      <c r="C3" s="318"/>
      <c r="D3" s="318"/>
      <c r="E3" s="318"/>
      <c r="F3" s="318"/>
      <c r="G3" s="318"/>
      <c r="H3" s="318"/>
    </row>
    <row r="4" spans="1:8" ht="17.100000000000001" customHeight="1">
      <c r="A4" s="318" t="s">
        <v>483</v>
      </c>
      <c r="B4" s="318"/>
      <c r="C4" s="318"/>
      <c r="D4" s="75">
        <v>15</v>
      </c>
      <c r="E4" s="87" t="s">
        <v>118</v>
      </c>
      <c r="F4" s="88"/>
      <c r="G4" s="88"/>
      <c r="H4" s="88"/>
    </row>
    <row r="5" spans="1:8" ht="17.100000000000001" customHeight="1">
      <c r="A5" s="318" t="s">
        <v>133</v>
      </c>
      <c r="B5" s="318"/>
      <c r="C5" s="318"/>
      <c r="D5" s="318"/>
      <c r="E5" s="318"/>
      <c r="F5" s="318"/>
      <c r="G5" s="318"/>
      <c r="H5" s="318"/>
    </row>
    <row r="6" spans="1:8" ht="17.100000000000001" customHeight="1">
      <c r="A6" s="318" t="s">
        <v>134</v>
      </c>
      <c r="B6" s="318"/>
      <c r="C6" s="76"/>
      <c r="D6" s="85"/>
      <c r="E6" s="85"/>
      <c r="F6" s="88"/>
      <c r="G6" s="88"/>
      <c r="H6" s="88"/>
    </row>
    <row r="7" spans="1:8" ht="17.100000000000001" customHeight="1">
      <c r="A7" s="318" t="s">
        <v>136</v>
      </c>
      <c r="B7" s="318"/>
      <c r="C7" s="76"/>
      <c r="D7" s="85"/>
      <c r="E7" s="85"/>
      <c r="F7" s="88"/>
      <c r="G7" s="88"/>
      <c r="H7" s="88"/>
    </row>
    <row r="8" spans="1:8" ht="17.100000000000001" customHeight="1">
      <c r="A8" s="318" t="s">
        <v>135</v>
      </c>
      <c r="B8" s="318"/>
      <c r="C8" s="76"/>
      <c r="D8" s="85"/>
      <c r="E8" s="85"/>
      <c r="F8" s="88"/>
      <c r="G8" s="88"/>
      <c r="H8" s="88"/>
    </row>
    <row r="9" spans="1:8" ht="17.100000000000001" customHeight="1">
      <c r="A9" s="318" t="s">
        <v>137</v>
      </c>
      <c r="B9" s="318"/>
      <c r="C9" s="76"/>
      <c r="D9" s="85"/>
      <c r="E9" s="85"/>
      <c r="F9" s="88"/>
      <c r="G9" s="88"/>
      <c r="H9" s="88"/>
    </row>
    <row r="10" spans="1:8" ht="17.100000000000001" customHeight="1">
      <c r="A10" s="318" t="s">
        <v>154</v>
      </c>
      <c r="B10" s="318"/>
      <c r="C10" s="76"/>
      <c r="D10" s="85"/>
      <c r="E10" s="85"/>
      <c r="F10" s="88"/>
      <c r="G10" s="88"/>
      <c r="H10" s="88"/>
    </row>
    <row r="11" spans="1:8" ht="17.100000000000001" customHeight="1">
      <c r="A11" s="318" t="s">
        <v>138</v>
      </c>
      <c r="B11" s="318"/>
      <c r="C11" s="76"/>
      <c r="D11" s="85"/>
      <c r="E11" s="85"/>
      <c r="F11" s="88"/>
      <c r="G11" s="88"/>
      <c r="H11" s="88"/>
    </row>
    <row r="12" spans="1:8" ht="17.100000000000001" customHeight="1">
      <c r="A12" s="318" t="s">
        <v>484</v>
      </c>
      <c r="B12" s="318"/>
      <c r="C12" s="318"/>
      <c r="D12" s="318"/>
      <c r="E12" s="318"/>
      <c r="F12" s="318"/>
      <c r="G12" s="318"/>
      <c r="H12" s="318"/>
    </row>
    <row r="13" spans="1:8" ht="17.25" customHeight="1">
      <c r="A13" s="318" t="s">
        <v>139</v>
      </c>
      <c r="B13" s="318"/>
      <c r="C13" s="318"/>
      <c r="D13" s="318"/>
      <c r="E13" s="318"/>
      <c r="F13" s="318"/>
      <c r="G13" s="318"/>
      <c r="H13" s="318"/>
    </row>
    <row r="14" spans="1:8" ht="32.25" customHeight="1">
      <c r="A14" s="318" t="s">
        <v>140</v>
      </c>
      <c r="B14" s="318"/>
      <c r="C14" s="76">
        <v>0.2</v>
      </c>
      <c r="D14" s="129" t="s">
        <v>47</v>
      </c>
      <c r="E14" s="85"/>
      <c r="F14" s="88"/>
      <c r="G14" s="88"/>
      <c r="H14" s="88"/>
    </row>
    <row r="15" spans="1:8" ht="34.5" customHeight="1">
      <c r="A15" s="318" t="s">
        <v>157</v>
      </c>
      <c r="B15" s="318"/>
      <c r="C15" s="26">
        <v>0.03</v>
      </c>
      <c r="D15" s="87" t="s">
        <v>47</v>
      </c>
      <c r="E15" s="85"/>
      <c r="F15" s="88"/>
      <c r="G15" s="88"/>
      <c r="H15" s="88"/>
    </row>
    <row r="16" spans="1:8" ht="32.25" customHeight="1">
      <c r="A16" s="318" t="s">
        <v>161</v>
      </c>
      <c r="B16" s="318"/>
      <c r="C16" s="303">
        <v>1.4999999999999999E-2</v>
      </c>
      <c r="D16" s="87" t="s">
        <v>47</v>
      </c>
      <c r="E16" s="85"/>
      <c r="F16" s="88"/>
      <c r="G16" s="88"/>
      <c r="H16" s="88"/>
    </row>
    <row r="17" spans="1:16">
      <c r="A17" s="314" t="s">
        <v>141</v>
      </c>
      <c r="B17" s="314"/>
      <c r="C17" s="314"/>
      <c r="D17" s="314"/>
      <c r="E17" s="314"/>
    </row>
    <row r="18" spans="1:16">
      <c r="A18" s="127" t="s">
        <v>377</v>
      </c>
      <c r="B18" s="84"/>
      <c r="C18" s="84"/>
      <c r="D18" s="84"/>
      <c r="E18" s="84"/>
    </row>
    <row r="19" spans="1:16">
      <c r="A19" s="89"/>
      <c r="B19" s="84"/>
      <c r="C19" s="84"/>
      <c r="D19" s="84"/>
      <c r="E19" s="84"/>
      <c r="G19" s="82" t="s">
        <v>60</v>
      </c>
      <c r="H19" s="30" t="s">
        <v>61</v>
      </c>
    </row>
    <row r="20" spans="1:16" ht="18" customHeight="1">
      <c r="A20" s="83" t="s">
        <v>1</v>
      </c>
      <c r="B20" s="316" t="s">
        <v>142</v>
      </c>
      <c r="C20" s="316"/>
      <c r="D20" s="316"/>
      <c r="E20" s="83" t="s">
        <v>143</v>
      </c>
      <c r="F20" s="83" t="s">
        <v>144</v>
      </c>
      <c r="G20" s="83" t="s">
        <v>146</v>
      </c>
      <c r="H20" s="83" t="s">
        <v>145</v>
      </c>
    </row>
    <row r="21" spans="1:16" ht="18" customHeight="1">
      <c r="A21" s="95">
        <v>1</v>
      </c>
      <c r="B21" s="317" t="s">
        <v>147</v>
      </c>
      <c r="C21" s="317"/>
      <c r="D21" s="317"/>
      <c r="E21" s="95" t="s">
        <v>153</v>
      </c>
      <c r="F21" s="80">
        <v>200000</v>
      </c>
      <c r="G21" s="77">
        <v>21.36</v>
      </c>
      <c r="H21" s="17">
        <f>G21*F21</f>
        <v>4272000</v>
      </c>
    </row>
    <row r="22" spans="1:16" ht="18" customHeight="1">
      <c r="A22" s="95">
        <v>2</v>
      </c>
      <c r="B22" s="317" t="s">
        <v>148</v>
      </c>
      <c r="C22" s="317"/>
      <c r="D22" s="317"/>
      <c r="E22" s="95" t="s">
        <v>153</v>
      </c>
      <c r="F22" s="80">
        <v>200000</v>
      </c>
      <c r="G22" s="77">
        <v>20.21</v>
      </c>
      <c r="H22" s="17">
        <f t="shared" ref="H22:H25" si="0">G22*F22</f>
        <v>4042000</v>
      </c>
    </row>
    <row r="23" spans="1:16" ht="18" customHeight="1">
      <c r="A23" s="95">
        <v>3</v>
      </c>
      <c r="B23" s="317" t="s">
        <v>149</v>
      </c>
      <c r="C23" s="317"/>
      <c r="D23" s="317"/>
      <c r="E23" s="95" t="s">
        <v>153</v>
      </c>
      <c r="F23" s="80">
        <v>100000</v>
      </c>
      <c r="G23" s="77">
        <v>16.22</v>
      </c>
      <c r="H23" s="17">
        <f t="shared" si="0"/>
        <v>1622000</v>
      </c>
    </row>
    <row r="24" spans="1:16" ht="18" customHeight="1">
      <c r="A24" s="95">
        <v>4</v>
      </c>
      <c r="B24" s="317" t="s">
        <v>155</v>
      </c>
      <c r="C24" s="317"/>
      <c r="D24" s="317"/>
      <c r="E24" s="95" t="s">
        <v>153</v>
      </c>
      <c r="F24" s="80">
        <v>600000</v>
      </c>
      <c r="G24" s="77">
        <v>17.690000000000001</v>
      </c>
      <c r="H24" s="17">
        <f t="shared" si="0"/>
        <v>10614000</v>
      </c>
    </row>
    <row r="25" spans="1:16" ht="18" customHeight="1">
      <c r="A25" s="95">
        <v>5</v>
      </c>
      <c r="B25" s="317" t="s">
        <v>150</v>
      </c>
      <c r="C25" s="317"/>
      <c r="D25" s="317"/>
      <c r="E25" s="95" t="s">
        <v>153</v>
      </c>
      <c r="F25" s="80">
        <v>1400000</v>
      </c>
      <c r="G25" s="77">
        <v>17.39</v>
      </c>
      <c r="H25" s="17">
        <f t="shared" si="0"/>
        <v>24346000</v>
      </c>
      <c r="P25" s="138">
        <f>H27/12</f>
        <v>3928400</v>
      </c>
    </row>
    <row r="26" spans="1:16" ht="18" customHeight="1">
      <c r="A26" s="176">
        <v>6</v>
      </c>
      <c r="B26" s="332" t="s">
        <v>487</v>
      </c>
      <c r="C26" s="337"/>
      <c r="D26" s="333"/>
      <c r="E26" s="176" t="s">
        <v>486</v>
      </c>
      <c r="F26" s="301">
        <v>0.05</v>
      </c>
      <c r="G26" s="77"/>
      <c r="H26" s="17">
        <f>SUM(H21:H25)*F26</f>
        <v>2244800</v>
      </c>
      <c r="P26" s="138"/>
    </row>
    <row r="27" spans="1:16" ht="18" customHeight="1">
      <c r="A27" s="95"/>
      <c r="B27" s="316" t="s">
        <v>152</v>
      </c>
      <c r="C27" s="316"/>
      <c r="D27" s="316"/>
      <c r="E27" s="86"/>
      <c r="F27" s="15"/>
      <c r="G27" s="18"/>
      <c r="H27" s="81">
        <f>SUM(H21:H26)</f>
        <v>47140800</v>
      </c>
    </row>
    <row r="28" spans="1:16">
      <c r="A28" s="84"/>
      <c r="B28" s="84"/>
      <c r="C28" s="84"/>
      <c r="D28" s="84"/>
      <c r="E28" s="84"/>
    </row>
    <row r="29" spans="1:16">
      <c r="A29" s="89" t="s">
        <v>156</v>
      </c>
      <c r="B29" s="84"/>
      <c r="C29" s="84"/>
      <c r="D29" s="84"/>
      <c r="E29" s="84"/>
    </row>
    <row r="30" spans="1:16" ht="24" customHeight="1">
      <c r="A30" s="84" t="s">
        <v>159</v>
      </c>
      <c r="B30" s="84"/>
      <c r="C30" s="84"/>
      <c r="D30" s="84"/>
      <c r="E30" s="84"/>
      <c r="G30" s="82"/>
      <c r="H30" s="30"/>
    </row>
    <row r="31" spans="1:16" ht="18" customHeight="1">
      <c r="A31" s="83" t="s">
        <v>1</v>
      </c>
      <c r="B31" s="97" t="s">
        <v>158</v>
      </c>
      <c r="C31" s="83" t="s">
        <v>143</v>
      </c>
      <c r="D31" s="83" t="s">
        <v>33</v>
      </c>
      <c r="E31" s="83" t="s">
        <v>34</v>
      </c>
      <c r="F31" s="83" t="s">
        <v>35</v>
      </c>
      <c r="G31" s="83" t="s">
        <v>36</v>
      </c>
      <c r="H31" s="83" t="s">
        <v>37</v>
      </c>
    </row>
    <row r="32" spans="1:16" ht="18" customHeight="1">
      <c r="A32" s="83"/>
      <c r="B32" s="99" t="s">
        <v>160</v>
      </c>
      <c r="C32" s="95"/>
      <c r="D32" s="46">
        <v>0</v>
      </c>
      <c r="E32" s="46">
        <f>C15</f>
        <v>0.03</v>
      </c>
      <c r="F32" s="46">
        <f>E32</f>
        <v>0.03</v>
      </c>
      <c r="G32" s="46">
        <f t="shared" ref="G32:H32" si="1">F32</f>
        <v>0.03</v>
      </c>
      <c r="H32" s="46">
        <f t="shared" si="1"/>
        <v>0.03</v>
      </c>
    </row>
    <row r="33" spans="1:8" ht="18" customHeight="1">
      <c r="A33" s="95">
        <v>1</v>
      </c>
      <c r="B33" s="100" t="s">
        <v>147</v>
      </c>
      <c r="C33" s="95" t="s">
        <v>153</v>
      </c>
      <c r="D33" s="23">
        <f>F21</f>
        <v>200000</v>
      </c>
      <c r="E33" s="23">
        <f>D33*(1+E$32)</f>
        <v>206000</v>
      </c>
      <c r="F33" s="23">
        <f t="shared" ref="F33:H33" si="2">E33*(1+F$32)</f>
        <v>212180</v>
      </c>
      <c r="G33" s="23">
        <f t="shared" si="2"/>
        <v>218545.4</v>
      </c>
      <c r="H33" s="23">
        <f t="shared" si="2"/>
        <v>225101.76199999999</v>
      </c>
    </row>
    <row r="34" spans="1:8" ht="18" customHeight="1">
      <c r="A34" s="95">
        <v>2</v>
      </c>
      <c r="B34" s="100" t="s">
        <v>148</v>
      </c>
      <c r="C34" s="95" t="s">
        <v>153</v>
      </c>
      <c r="D34" s="23">
        <f>F22</f>
        <v>200000</v>
      </c>
      <c r="E34" s="23">
        <f t="shared" ref="E34:H34" si="3">D34*(1+E$32)</f>
        <v>206000</v>
      </c>
      <c r="F34" s="23">
        <f t="shared" si="3"/>
        <v>212180</v>
      </c>
      <c r="G34" s="23">
        <f t="shared" si="3"/>
        <v>218545.4</v>
      </c>
      <c r="H34" s="23">
        <f t="shared" si="3"/>
        <v>225101.76199999999</v>
      </c>
    </row>
    <row r="35" spans="1:8" ht="18" customHeight="1">
      <c r="A35" s="95">
        <v>3</v>
      </c>
      <c r="B35" s="100" t="s">
        <v>149</v>
      </c>
      <c r="C35" s="95" t="s">
        <v>153</v>
      </c>
      <c r="D35" s="23">
        <f>F23</f>
        <v>100000</v>
      </c>
      <c r="E35" s="23">
        <f t="shared" ref="E35:H35" si="4">D35*(1+E$32)</f>
        <v>103000</v>
      </c>
      <c r="F35" s="23">
        <f t="shared" si="4"/>
        <v>106090</v>
      </c>
      <c r="G35" s="23">
        <f t="shared" si="4"/>
        <v>109272.7</v>
      </c>
      <c r="H35" s="23">
        <f t="shared" si="4"/>
        <v>112550.88099999999</v>
      </c>
    </row>
    <row r="36" spans="1:8" ht="18" customHeight="1">
      <c r="A36" s="95">
        <v>4</v>
      </c>
      <c r="B36" s="100" t="s">
        <v>155</v>
      </c>
      <c r="C36" s="95" t="s">
        <v>153</v>
      </c>
      <c r="D36" s="23">
        <f>F24</f>
        <v>600000</v>
      </c>
      <c r="E36" s="23">
        <f t="shared" ref="E36:H36" si="5">D36*(1+E$32)</f>
        <v>618000</v>
      </c>
      <c r="F36" s="23">
        <f t="shared" si="5"/>
        <v>636540</v>
      </c>
      <c r="G36" s="23">
        <f t="shared" si="5"/>
        <v>655636.20000000007</v>
      </c>
      <c r="H36" s="23">
        <f t="shared" si="5"/>
        <v>675305.28600000008</v>
      </c>
    </row>
    <row r="37" spans="1:8" ht="18" customHeight="1">
      <c r="A37" s="95">
        <v>5</v>
      </c>
      <c r="B37" s="100" t="s">
        <v>150</v>
      </c>
      <c r="C37" s="95" t="s">
        <v>153</v>
      </c>
      <c r="D37" s="23">
        <f>F25</f>
        <v>1400000</v>
      </c>
      <c r="E37" s="23">
        <f t="shared" ref="E37:H37" si="6">D37*(1+E$32)</f>
        <v>1442000</v>
      </c>
      <c r="F37" s="23">
        <f t="shared" si="6"/>
        <v>1485260</v>
      </c>
      <c r="G37" s="23">
        <f t="shared" si="6"/>
        <v>1529817.8</v>
      </c>
      <c r="H37" s="23">
        <f t="shared" si="6"/>
        <v>1575712.334</v>
      </c>
    </row>
    <row r="38" spans="1:8">
      <c r="A38" s="84"/>
      <c r="B38" s="84"/>
      <c r="C38" s="84"/>
      <c r="D38" s="84"/>
      <c r="E38" s="84"/>
    </row>
    <row r="39" spans="1:8">
      <c r="A39" s="221" t="s">
        <v>1</v>
      </c>
      <c r="B39" s="224" t="s">
        <v>158</v>
      </c>
      <c r="C39" s="221" t="s">
        <v>143</v>
      </c>
      <c r="D39" s="221" t="s">
        <v>50</v>
      </c>
      <c r="E39" s="221" t="s">
        <v>51</v>
      </c>
      <c r="F39" s="221" t="s">
        <v>52</v>
      </c>
      <c r="G39" s="221" t="s">
        <v>53</v>
      </c>
      <c r="H39" s="221" t="s">
        <v>54</v>
      </c>
    </row>
    <row r="40" spans="1:8">
      <c r="A40" s="221"/>
      <c r="B40" s="99" t="s">
        <v>160</v>
      </c>
      <c r="C40" s="176"/>
      <c r="D40" s="46">
        <f>H32</f>
        <v>0.03</v>
      </c>
      <c r="E40" s="46">
        <f>D40</f>
        <v>0.03</v>
      </c>
      <c r="F40" s="46">
        <f>E40</f>
        <v>0.03</v>
      </c>
      <c r="G40" s="46">
        <f t="shared" ref="G40:H40" si="7">F40</f>
        <v>0.03</v>
      </c>
      <c r="H40" s="46">
        <f t="shared" si="7"/>
        <v>0.03</v>
      </c>
    </row>
    <row r="41" spans="1:8">
      <c r="A41" s="176">
        <v>1</v>
      </c>
      <c r="B41" s="100" t="s">
        <v>147</v>
      </c>
      <c r="C41" s="176" t="s">
        <v>153</v>
      </c>
      <c r="D41" s="23">
        <f>H33*(1+D$40)</f>
        <v>231854.81485999998</v>
      </c>
      <c r="E41" s="23">
        <f>D41*(1+E$40)</f>
        <v>238810.4593058</v>
      </c>
      <c r="F41" s="23">
        <f t="shared" ref="F41:H41" si="8">E41*(1+F$40)</f>
        <v>245974.773084974</v>
      </c>
      <c r="G41" s="23">
        <f t="shared" si="8"/>
        <v>253354.01627752322</v>
      </c>
      <c r="H41" s="23">
        <f t="shared" si="8"/>
        <v>260954.63676584893</v>
      </c>
    </row>
    <row r="42" spans="1:8">
      <c r="A42" s="176">
        <v>2</v>
      </c>
      <c r="B42" s="100" t="s">
        <v>148</v>
      </c>
      <c r="C42" s="176" t="s">
        <v>153</v>
      </c>
      <c r="D42" s="23">
        <f t="shared" ref="D42:D45" si="9">H34*(1+D$40)</f>
        <v>231854.81485999998</v>
      </c>
      <c r="E42" s="23">
        <f t="shared" ref="E42:H42" si="10">D42*(1+E$40)</f>
        <v>238810.4593058</v>
      </c>
      <c r="F42" s="23">
        <f t="shared" si="10"/>
        <v>245974.773084974</v>
      </c>
      <c r="G42" s="23">
        <f t="shared" si="10"/>
        <v>253354.01627752322</v>
      </c>
      <c r="H42" s="23">
        <f t="shared" si="10"/>
        <v>260954.63676584893</v>
      </c>
    </row>
    <row r="43" spans="1:8">
      <c r="A43" s="176">
        <v>3</v>
      </c>
      <c r="B43" s="100" t="s">
        <v>149</v>
      </c>
      <c r="C43" s="176" t="s">
        <v>153</v>
      </c>
      <c r="D43" s="23">
        <f t="shared" si="9"/>
        <v>115927.40742999999</v>
      </c>
      <c r="E43" s="23">
        <f t="shared" ref="E43:H43" si="11">D43*(1+E$40)</f>
        <v>119405.2296529</v>
      </c>
      <c r="F43" s="23">
        <f t="shared" si="11"/>
        <v>122987.386542487</v>
      </c>
      <c r="G43" s="23">
        <f t="shared" si="11"/>
        <v>126677.00813876161</v>
      </c>
      <c r="H43" s="23">
        <f t="shared" si="11"/>
        <v>130477.31838292447</v>
      </c>
    </row>
    <row r="44" spans="1:8">
      <c r="A44" s="176">
        <v>4</v>
      </c>
      <c r="B44" s="100" t="s">
        <v>155</v>
      </c>
      <c r="C44" s="176" t="s">
        <v>153</v>
      </c>
      <c r="D44" s="23">
        <f t="shared" si="9"/>
        <v>695564.44458000013</v>
      </c>
      <c r="E44" s="23">
        <f t="shared" ref="E44:H44" si="12">D44*(1+E$40)</f>
        <v>716431.3779174001</v>
      </c>
      <c r="F44" s="23">
        <f t="shared" si="12"/>
        <v>737924.3192549221</v>
      </c>
      <c r="G44" s="23">
        <f t="shared" si="12"/>
        <v>760062.04883256974</v>
      </c>
      <c r="H44" s="23">
        <f t="shared" si="12"/>
        <v>782863.91029754688</v>
      </c>
    </row>
    <row r="45" spans="1:8">
      <c r="A45" s="176">
        <v>5</v>
      </c>
      <c r="B45" s="100" t="s">
        <v>150</v>
      </c>
      <c r="C45" s="176" t="s">
        <v>153</v>
      </c>
      <c r="D45" s="23">
        <f t="shared" si="9"/>
        <v>1622983.7040200001</v>
      </c>
      <c r="E45" s="23">
        <f t="shared" ref="E45:H45" si="13">D45*(1+E$40)</f>
        <v>1671673.2151406002</v>
      </c>
      <c r="F45" s="23">
        <f t="shared" si="13"/>
        <v>1721823.4115948183</v>
      </c>
      <c r="G45" s="23">
        <f t="shared" si="13"/>
        <v>1773478.113942663</v>
      </c>
      <c r="H45" s="23">
        <f t="shared" si="13"/>
        <v>1826682.4573609428</v>
      </c>
    </row>
    <row r="46" spans="1:8">
      <c r="A46" s="223"/>
      <c r="B46" s="223"/>
      <c r="C46" s="223"/>
      <c r="D46" s="223"/>
      <c r="E46" s="223"/>
    </row>
    <row r="47" spans="1:8">
      <c r="A47" s="221" t="s">
        <v>1</v>
      </c>
      <c r="B47" s="224" t="s">
        <v>158</v>
      </c>
      <c r="C47" s="221" t="s">
        <v>143</v>
      </c>
      <c r="D47" s="221" t="s">
        <v>55</v>
      </c>
      <c r="E47" s="221" t="s">
        <v>56</v>
      </c>
      <c r="F47" s="221" t="s">
        <v>57</v>
      </c>
      <c r="G47" s="221" t="s">
        <v>58</v>
      </c>
      <c r="H47" s="221" t="s">
        <v>59</v>
      </c>
    </row>
    <row r="48" spans="1:8">
      <c r="A48" s="221"/>
      <c r="B48" s="99" t="s">
        <v>160</v>
      </c>
      <c r="C48" s="176"/>
      <c r="D48" s="46">
        <f>H40</f>
        <v>0.03</v>
      </c>
      <c r="E48" s="46">
        <f>D48</f>
        <v>0.03</v>
      </c>
      <c r="F48" s="46">
        <f>E48</f>
        <v>0.03</v>
      </c>
      <c r="G48" s="46">
        <f t="shared" ref="G48:H48" si="14">F48</f>
        <v>0.03</v>
      </c>
      <c r="H48" s="46">
        <f t="shared" si="14"/>
        <v>0.03</v>
      </c>
    </row>
    <row r="49" spans="1:8">
      <c r="A49" s="176">
        <v>1</v>
      </c>
      <c r="B49" s="100" t="s">
        <v>147</v>
      </c>
      <c r="C49" s="176" t="s">
        <v>153</v>
      </c>
      <c r="D49" s="23">
        <f>H41*(1+D$40)</f>
        <v>268783.27586882439</v>
      </c>
      <c r="E49" s="23">
        <f>D49*(1+E$40)</f>
        <v>276846.77414488915</v>
      </c>
      <c r="F49" s="23">
        <f t="shared" ref="F49:H49" si="15">E49*(1+F$40)</f>
        <v>285152.17736923584</v>
      </c>
      <c r="G49" s="23">
        <f t="shared" si="15"/>
        <v>293706.74269031291</v>
      </c>
      <c r="H49" s="23">
        <f t="shared" si="15"/>
        <v>302517.94497102231</v>
      </c>
    </row>
    <row r="50" spans="1:8">
      <c r="A50" s="176">
        <v>2</v>
      </c>
      <c r="B50" s="100" t="s">
        <v>148</v>
      </c>
      <c r="C50" s="176" t="s">
        <v>153</v>
      </c>
      <c r="D50" s="23">
        <f t="shared" ref="D50:D53" si="16">H42*(1+D$40)</f>
        <v>268783.27586882439</v>
      </c>
      <c r="E50" s="23">
        <f t="shared" ref="E50:H50" si="17">D50*(1+E$40)</f>
        <v>276846.77414488915</v>
      </c>
      <c r="F50" s="23">
        <f t="shared" si="17"/>
        <v>285152.17736923584</v>
      </c>
      <c r="G50" s="23">
        <f t="shared" si="17"/>
        <v>293706.74269031291</v>
      </c>
      <c r="H50" s="23">
        <f t="shared" si="17"/>
        <v>302517.94497102231</v>
      </c>
    </row>
    <row r="51" spans="1:8">
      <c r="A51" s="176">
        <v>3</v>
      </c>
      <c r="B51" s="100" t="s">
        <v>149</v>
      </c>
      <c r="C51" s="176" t="s">
        <v>153</v>
      </c>
      <c r="D51" s="23">
        <f t="shared" si="16"/>
        <v>134391.6379344122</v>
      </c>
      <c r="E51" s="23">
        <f t="shared" ref="E51:H51" si="18">D51*(1+E$40)</f>
        <v>138423.38707244457</v>
      </c>
      <c r="F51" s="23">
        <f t="shared" si="18"/>
        <v>142576.08868461792</v>
      </c>
      <c r="G51" s="23">
        <f t="shared" si="18"/>
        <v>146853.37134515645</v>
      </c>
      <c r="H51" s="23">
        <f t="shared" si="18"/>
        <v>151258.97248551116</v>
      </c>
    </row>
    <row r="52" spans="1:8">
      <c r="A52" s="176">
        <v>4</v>
      </c>
      <c r="B52" s="100" t="s">
        <v>155</v>
      </c>
      <c r="C52" s="176" t="s">
        <v>153</v>
      </c>
      <c r="D52" s="23">
        <f t="shared" si="16"/>
        <v>806349.82760647335</v>
      </c>
      <c r="E52" s="23">
        <f t="shared" ref="E52:H52" si="19">D52*(1+E$40)</f>
        <v>830540.32243466761</v>
      </c>
      <c r="F52" s="23">
        <f t="shared" si="19"/>
        <v>855456.5321077077</v>
      </c>
      <c r="G52" s="23">
        <f t="shared" si="19"/>
        <v>881120.22807093896</v>
      </c>
      <c r="H52" s="23">
        <f t="shared" si="19"/>
        <v>907553.83491306717</v>
      </c>
    </row>
    <row r="53" spans="1:8">
      <c r="A53" s="176">
        <v>5</v>
      </c>
      <c r="B53" s="100" t="s">
        <v>150</v>
      </c>
      <c r="C53" s="176" t="s">
        <v>153</v>
      </c>
      <c r="D53" s="23">
        <f t="shared" si="16"/>
        <v>1881482.9310817712</v>
      </c>
      <c r="E53" s="23">
        <f t="shared" ref="E53:H53" si="20">D53*(1+E$40)</f>
        <v>1937927.4190142243</v>
      </c>
      <c r="F53" s="23">
        <f t="shared" si="20"/>
        <v>1996065.2415846512</v>
      </c>
      <c r="G53" s="23">
        <f t="shared" si="20"/>
        <v>2055947.1988321908</v>
      </c>
      <c r="H53" s="23">
        <f t="shared" si="20"/>
        <v>2117625.6147971568</v>
      </c>
    </row>
    <row r="54" spans="1:8">
      <c r="A54" s="223"/>
      <c r="B54" s="223"/>
      <c r="C54" s="223"/>
      <c r="D54" s="223"/>
      <c r="E54" s="223"/>
    </row>
    <row r="55" spans="1:8">
      <c r="A55" s="84" t="s">
        <v>162</v>
      </c>
      <c r="B55" s="84"/>
      <c r="C55" s="84"/>
      <c r="D55" s="84"/>
      <c r="E55" s="84"/>
    </row>
    <row r="56" spans="1:8">
      <c r="A56" s="84"/>
      <c r="B56" s="84"/>
      <c r="C56" s="84"/>
      <c r="D56" s="84"/>
      <c r="E56" s="84"/>
      <c r="G56" s="82" t="s">
        <v>60</v>
      </c>
      <c r="H56" s="30" t="s">
        <v>61</v>
      </c>
    </row>
    <row r="57" spans="1:8" ht="18" customHeight="1">
      <c r="A57" s="83" t="s">
        <v>1</v>
      </c>
      <c r="B57" s="338" t="s">
        <v>163</v>
      </c>
      <c r="C57" s="339"/>
      <c r="D57" s="83" t="s">
        <v>33</v>
      </c>
      <c r="E57" s="83" t="s">
        <v>34</v>
      </c>
      <c r="F57" s="83" t="s">
        <v>35</v>
      </c>
      <c r="G57" s="83" t="s">
        <v>36</v>
      </c>
      <c r="H57" s="83" t="s">
        <v>37</v>
      </c>
    </row>
    <row r="58" spans="1:8" ht="18" customHeight="1">
      <c r="A58" s="83"/>
      <c r="B58" s="340" t="s">
        <v>164</v>
      </c>
      <c r="C58" s="341"/>
      <c r="D58" s="46">
        <v>0</v>
      </c>
      <c r="E58" s="304">
        <f>C16</f>
        <v>1.4999999999999999E-2</v>
      </c>
      <c r="F58" s="304">
        <f>E58</f>
        <v>1.4999999999999999E-2</v>
      </c>
      <c r="G58" s="304">
        <f t="shared" ref="G58:H58" si="21">F58</f>
        <v>1.4999999999999999E-2</v>
      </c>
      <c r="H58" s="304">
        <f t="shared" si="21"/>
        <v>1.4999999999999999E-2</v>
      </c>
    </row>
    <row r="59" spans="1:8" ht="18" customHeight="1">
      <c r="A59" s="95">
        <v>1</v>
      </c>
      <c r="B59" s="332" t="s">
        <v>147</v>
      </c>
      <c r="C59" s="333"/>
      <c r="D59" s="107">
        <f>G21</f>
        <v>21.36</v>
      </c>
      <c r="E59" s="107">
        <f>D59*(1+E$58)</f>
        <v>21.680399999999999</v>
      </c>
      <c r="F59" s="107">
        <f t="shared" ref="F59:H59" si="22">E59*(1+F$58)</f>
        <v>22.005605999999997</v>
      </c>
      <c r="G59" s="107">
        <f t="shared" si="22"/>
        <v>22.335690089999993</v>
      </c>
      <c r="H59" s="107">
        <f t="shared" si="22"/>
        <v>22.67072544134999</v>
      </c>
    </row>
    <row r="60" spans="1:8" ht="18" customHeight="1">
      <c r="A60" s="95">
        <v>2</v>
      </c>
      <c r="B60" s="332" t="s">
        <v>148</v>
      </c>
      <c r="C60" s="333"/>
      <c r="D60" s="107">
        <f>G22</f>
        <v>20.21</v>
      </c>
      <c r="E60" s="107">
        <f t="shared" ref="E60:H60" si="23">D60*(1+E$58)</f>
        <v>20.51315</v>
      </c>
      <c r="F60" s="107">
        <f t="shared" si="23"/>
        <v>20.820847249999996</v>
      </c>
      <c r="G60" s="107">
        <f t="shared" si="23"/>
        <v>21.133159958749996</v>
      </c>
      <c r="H60" s="107">
        <f t="shared" si="23"/>
        <v>21.450157358131243</v>
      </c>
    </row>
    <row r="61" spans="1:8" ht="18" customHeight="1">
      <c r="A61" s="95">
        <v>3</v>
      </c>
      <c r="B61" s="332" t="s">
        <v>149</v>
      </c>
      <c r="C61" s="333"/>
      <c r="D61" s="107">
        <f>G23</f>
        <v>16.22</v>
      </c>
      <c r="E61" s="107">
        <f t="shared" ref="E61:H61" si="24">D61*(1+E$58)</f>
        <v>16.463299999999997</v>
      </c>
      <c r="F61" s="107">
        <f t="shared" si="24"/>
        <v>16.710249499999996</v>
      </c>
      <c r="G61" s="107">
        <f t="shared" si="24"/>
        <v>16.960903242499995</v>
      </c>
      <c r="H61" s="107">
        <f t="shared" si="24"/>
        <v>17.215316791137493</v>
      </c>
    </row>
    <row r="62" spans="1:8" ht="18" customHeight="1">
      <c r="A62" s="95">
        <v>4</v>
      </c>
      <c r="B62" s="332" t="s">
        <v>155</v>
      </c>
      <c r="C62" s="333"/>
      <c r="D62" s="107">
        <f>G24</f>
        <v>17.690000000000001</v>
      </c>
      <c r="E62" s="107">
        <f t="shared" ref="E62:H62" si="25">D62*(1+E$58)</f>
        <v>17.955349999999999</v>
      </c>
      <c r="F62" s="107">
        <f t="shared" si="25"/>
        <v>18.224680249999999</v>
      </c>
      <c r="G62" s="107">
        <f t="shared" si="25"/>
        <v>18.498050453749997</v>
      </c>
      <c r="H62" s="107">
        <f t="shared" si="25"/>
        <v>18.775521210556246</v>
      </c>
    </row>
    <row r="63" spans="1:8" ht="18" customHeight="1">
      <c r="A63" s="95">
        <v>5</v>
      </c>
      <c r="B63" s="332" t="s">
        <v>150</v>
      </c>
      <c r="C63" s="333"/>
      <c r="D63" s="107">
        <f>G25</f>
        <v>17.39</v>
      </c>
      <c r="E63" s="107">
        <f t="shared" ref="E63:H63" si="26">D63*(1+E$58)</f>
        <v>17.650849999999998</v>
      </c>
      <c r="F63" s="107">
        <f t="shared" si="26"/>
        <v>17.915612749999998</v>
      </c>
      <c r="G63" s="107">
        <f t="shared" si="26"/>
        <v>18.184346941249995</v>
      </c>
      <c r="H63" s="107">
        <f t="shared" si="26"/>
        <v>18.457112145368743</v>
      </c>
    </row>
    <row r="64" spans="1:8">
      <c r="A64" s="101"/>
      <c r="B64" s="102"/>
      <c r="C64" s="102"/>
      <c r="D64" s="103"/>
      <c r="E64" s="103"/>
      <c r="F64" s="103"/>
      <c r="G64" s="103"/>
      <c r="H64" s="103"/>
    </row>
    <row r="65" spans="1:8">
      <c r="A65" s="223"/>
      <c r="B65" s="223"/>
      <c r="C65" s="223"/>
      <c r="D65" s="223"/>
      <c r="E65" s="223"/>
      <c r="G65" s="82" t="s">
        <v>60</v>
      </c>
      <c r="H65" s="30" t="s">
        <v>61</v>
      </c>
    </row>
    <row r="66" spans="1:8">
      <c r="A66" s="221" t="s">
        <v>1</v>
      </c>
      <c r="B66" s="338" t="s">
        <v>163</v>
      </c>
      <c r="C66" s="339"/>
      <c r="D66" s="221" t="s">
        <v>50</v>
      </c>
      <c r="E66" s="221" t="s">
        <v>51</v>
      </c>
      <c r="F66" s="221" t="s">
        <v>52</v>
      </c>
      <c r="G66" s="221" t="s">
        <v>53</v>
      </c>
      <c r="H66" s="221" t="s">
        <v>54</v>
      </c>
    </row>
    <row r="67" spans="1:8">
      <c r="A67" s="221"/>
      <c r="B67" s="340" t="s">
        <v>164</v>
      </c>
      <c r="C67" s="341"/>
      <c r="D67" s="109">
        <f>H58</f>
        <v>1.4999999999999999E-2</v>
      </c>
      <c r="E67" s="304">
        <f>D67</f>
        <v>1.4999999999999999E-2</v>
      </c>
      <c r="F67" s="304">
        <f>E67</f>
        <v>1.4999999999999999E-2</v>
      </c>
      <c r="G67" s="304">
        <f t="shared" ref="G67:H67" si="27">F67</f>
        <v>1.4999999999999999E-2</v>
      </c>
      <c r="H67" s="304">
        <f t="shared" si="27"/>
        <v>1.4999999999999999E-2</v>
      </c>
    </row>
    <row r="68" spans="1:8">
      <c r="A68" s="176">
        <v>1</v>
      </c>
      <c r="B68" s="332" t="s">
        <v>147</v>
      </c>
      <c r="C68" s="333"/>
      <c r="D68" s="107">
        <f>H59*(1+D$67)</f>
        <v>23.010786322970237</v>
      </c>
      <c r="E68" s="107">
        <f>D68*(1+E$67)</f>
        <v>23.355948117814787</v>
      </c>
      <c r="F68" s="107">
        <f t="shared" ref="F68:H68" si="28">E68*(1+F$67)</f>
        <v>23.706287339582005</v>
      </c>
      <c r="G68" s="107">
        <f t="shared" si="28"/>
        <v>24.061881649675733</v>
      </c>
      <c r="H68" s="107">
        <f t="shared" si="28"/>
        <v>24.422809874420867</v>
      </c>
    </row>
    <row r="69" spans="1:8">
      <c r="A69" s="176">
        <v>2</v>
      </c>
      <c r="B69" s="332" t="s">
        <v>148</v>
      </c>
      <c r="C69" s="333"/>
      <c r="D69" s="107">
        <f t="shared" ref="D69:D72" si="29">H60*(1+D$67)</f>
        <v>21.77190971850321</v>
      </c>
      <c r="E69" s="107">
        <f t="shared" ref="E69:H69" si="30">D69*(1+E$67)</f>
        <v>22.098488364280755</v>
      </c>
      <c r="F69" s="107">
        <f t="shared" si="30"/>
        <v>22.429965689744964</v>
      </c>
      <c r="G69" s="107">
        <f t="shared" si="30"/>
        <v>22.766415175091137</v>
      </c>
      <c r="H69" s="107">
        <f t="shared" si="30"/>
        <v>23.107911402717502</v>
      </c>
    </row>
    <row r="70" spans="1:8">
      <c r="A70" s="176">
        <v>3</v>
      </c>
      <c r="B70" s="332" t="s">
        <v>149</v>
      </c>
      <c r="C70" s="333"/>
      <c r="D70" s="107">
        <f t="shared" si="29"/>
        <v>17.473546543004552</v>
      </c>
      <c r="E70" s="107">
        <f t="shared" ref="E70:H70" si="31">D70*(1+E$67)</f>
        <v>17.735649741149619</v>
      </c>
      <c r="F70" s="107">
        <f t="shared" si="31"/>
        <v>18.001684487266861</v>
      </c>
      <c r="G70" s="107">
        <f t="shared" si="31"/>
        <v>18.271709754575863</v>
      </c>
      <c r="H70" s="107">
        <f t="shared" si="31"/>
        <v>18.545785400894498</v>
      </c>
    </row>
    <row r="71" spans="1:8">
      <c r="A71" s="176">
        <v>4</v>
      </c>
      <c r="B71" s="332" t="s">
        <v>155</v>
      </c>
      <c r="C71" s="333"/>
      <c r="D71" s="107">
        <f t="shared" si="29"/>
        <v>19.057154028714589</v>
      </c>
      <c r="E71" s="107">
        <f t="shared" ref="E71:H71" si="32">D71*(1+E$67)</f>
        <v>19.343011339145306</v>
      </c>
      <c r="F71" s="107">
        <f t="shared" si="32"/>
        <v>19.633156509232485</v>
      </c>
      <c r="G71" s="107">
        <f t="shared" si="32"/>
        <v>19.927653856870972</v>
      </c>
      <c r="H71" s="107">
        <f t="shared" si="32"/>
        <v>20.226568664724034</v>
      </c>
    </row>
    <row r="72" spans="1:8">
      <c r="A72" s="176">
        <v>5</v>
      </c>
      <c r="B72" s="332" t="s">
        <v>150</v>
      </c>
      <c r="C72" s="333"/>
      <c r="D72" s="107">
        <f t="shared" si="29"/>
        <v>18.733968827549273</v>
      </c>
      <c r="E72" s="107">
        <f t="shared" ref="E72:H72" si="33">D72*(1+E$67)</f>
        <v>19.014978359962509</v>
      </c>
      <c r="F72" s="107">
        <f t="shared" si="33"/>
        <v>19.300203035361946</v>
      </c>
      <c r="G72" s="107">
        <f t="shared" si="33"/>
        <v>19.589706080892373</v>
      </c>
      <c r="H72" s="107">
        <f t="shared" si="33"/>
        <v>19.883551672105757</v>
      </c>
    </row>
    <row r="73" spans="1:8">
      <c r="A73" s="104"/>
      <c r="B73" s="105"/>
      <c r="C73" s="105"/>
      <c r="D73" s="106"/>
      <c r="E73" s="106"/>
      <c r="F73" s="106"/>
      <c r="G73" s="106"/>
      <c r="H73" s="106"/>
    </row>
    <row r="74" spans="1:8">
      <c r="A74" s="223"/>
      <c r="B74" s="223"/>
      <c r="C74" s="223"/>
      <c r="D74" s="223"/>
      <c r="E74" s="223"/>
      <c r="G74" s="82" t="s">
        <v>60</v>
      </c>
      <c r="H74" s="30" t="s">
        <v>61</v>
      </c>
    </row>
    <row r="75" spans="1:8">
      <c r="A75" s="221" t="s">
        <v>1</v>
      </c>
      <c r="B75" s="338" t="s">
        <v>163</v>
      </c>
      <c r="C75" s="339"/>
      <c r="D75" s="221" t="s">
        <v>55</v>
      </c>
      <c r="E75" s="221" t="s">
        <v>56</v>
      </c>
      <c r="F75" s="221" t="s">
        <v>57</v>
      </c>
      <c r="G75" s="221" t="s">
        <v>58</v>
      </c>
      <c r="H75" s="221" t="s">
        <v>59</v>
      </c>
    </row>
    <row r="76" spans="1:8">
      <c r="A76" s="221"/>
      <c r="B76" s="340" t="s">
        <v>164</v>
      </c>
      <c r="C76" s="341"/>
      <c r="D76" s="109">
        <f>H67</f>
        <v>1.4999999999999999E-2</v>
      </c>
      <c r="E76" s="304">
        <f>D76</f>
        <v>1.4999999999999999E-2</v>
      </c>
      <c r="F76" s="304">
        <f>E76</f>
        <v>1.4999999999999999E-2</v>
      </c>
      <c r="G76" s="304">
        <f t="shared" ref="G76:H76" si="34">F76</f>
        <v>1.4999999999999999E-2</v>
      </c>
      <c r="H76" s="304">
        <f t="shared" si="34"/>
        <v>1.4999999999999999E-2</v>
      </c>
    </row>
    <row r="77" spans="1:8">
      <c r="A77" s="176">
        <v>1</v>
      </c>
      <c r="B77" s="332" t="s">
        <v>147</v>
      </c>
      <c r="C77" s="333"/>
      <c r="D77" s="107">
        <f>H68*(1+D$67)</f>
        <v>24.789152022537177</v>
      </c>
      <c r="E77" s="107">
        <f>D77*(1+E$67)</f>
        <v>25.160989302875233</v>
      </c>
      <c r="F77" s="107">
        <f t="shared" ref="F77:H77" si="35">E77*(1+F$67)</f>
        <v>25.538404142418358</v>
      </c>
      <c r="G77" s="107">
        <f t="shared" si="35"/>
        <v>25.92148020455463</v>
      </c>
      <c r="H77" s="107">
        <f t="shared" si="35"/>
        <v>26.310302407622945</v>
      </c>
    </row>
    <row r="78" spans="1:8">
      <c r="A78" s="176">
        <v>2</v>
      </c>
      <c r="B78" s="332" t="s">
        <v>148</v>
      </c>
      <c r="C78" s="333"/>
      <c r="D78" s="107">
        <f t="shared" ref="D78:D81" si="36">H69*(1+D$67)</f>
        <v>23.454530073758264</v>
      </c>
      <c r="E78" s="107">
        <f t="shared" ref="E78:H78" si="37">D78*(1+E$67)</f>
        <v>23.806348024864636</v>
      </c>
      <c r="F78" s="107">
        <f t="shared" si="37"/>
        <v>24.163443245237605</v>
      </c>
      <c r="G78" s="107">
        <f t="shared" si="37"/>
        <v>24.525894893916167</v>
      </c>
      <c r="H78" s="107">
        <f t="shared" si="37"/>
        <v>24.893783317324907</v>
      </c>
    </row>
    <row r="79" spans="1:8">
      <c r="A79" s="176">
        <v>3</v>
      </c>
      <c r="B79" s="332" t="s">
        <v>149</v>
      </c>
      <c r="C79" s="333"/>
      <c r="D79" s="107">
        <f t="shared" si="36"/>
        <v>18.823972181907916</v>
      </c>
      <c r="E79" s="107">
        <f t="shared" ref="E79:H79" si="38">D79*(1+E$67)</f>
        <v>19.106331764636533</v>
      </c>
      <c r="F79" s="107">
        <f t="shared" si="38"/>
        <v>19.392926741106077</v>
      </c>
      <c r="G79" s="107">
        <f t="shared" si="38"/>
        <v>19.683820642222667</v>
      </c>
      <c r="H79" s="107">
        <f t="shared" si="38"/>
        <v>19.979077951856006</v>
      </c>
    </row>
    <row r="80" spans="1:8">
      <c r="A80" s="176">
        <v>4</v>
      </c>
      <c r="B80" s="332" t="s">
        <v>155</v>
      </c>
      <c r="C80" s="333"/>
      <c r="D80" s="107">
        <f t="shared" si="36"/>
        <v>20.529967194694894</v>
      </c>
      <c r="E80" s="107">
        <f t="shared" ref="E80:H80" si="39">D80*(1+E$67)</f>
        <v>20.837916702615317</v>
      </c>
      <c r="F80" s="107">
        <f t="shared" si="39"/>
        <v>21.150485453154545</v>
      </c>
      <c r="G80" s="107">
        <f t="shared" si="39"/>
        <v>21.467742734951862</v>
      </c>
      <c r="H80" s="107">
        <f t="shared" si="39"/>
        <v>21.789758875976137</v>
      </c>
    </row>
    <row r="81" spans="1:8">
      <c r="A81" s="176">
        <v>5</v>
      </c>
      <c r="B81" s="332" t="s">
        <v>150</v>
      </c>
      <c r="C81" s="333"/>
      <c r="D81" s="107">
        <f t="shared" si="36"/>
        <v>20.181804947187342</v>
      </c>
      <c r="E81" s="107">
        <f t="shared" ref="E81:H81" si="40">D81*(1+E$67)</f>
        <v>20.48453202139515</v>
      </c>
      <c r="F81" s="107">
        <f t="shared" si="40"/>
        <v>20.791800001716076</v>
      </c>
      <c r="G81" s="107">
        <f t="shared" si="40"/>
        <v>21.103677001741815</v>
      </c>
      <c r="H81" s="107">
        <f t="shared" si="40"/>
        <v>21.420232156767941</v>
      </c>
    </row>
    <row r="82" spans="1:8">
      <c r="A82" s="104"/>
      <c r="B82" s="105"/>
      <c r="C82" s="105"/>
      <c r="D82" s="106"/>
      <c r="E82" s="106"/>
      <c r="F82" s="106"/>
      <c r="G82" s="106"/>
      <c r="H82" s="106"/>
    </row>
    <row r="83" spans="1:8">
      <c r="A83" s="84" t="s">
        <v>165</v>
      </c>
      <c r="B83" s="84"/>
      <c r="C83" s="84"/>
      <c r="D83" s="84"/>
      <c r="E83" s="84"/>
    </row>
    <row r="84" spans="1:8">
      <c r="A84" s="84"/>
      <c r="B84" s="84"/>
      <c r="C84" s="84"/>
      <c r="D84" s="84"/>
      <c r="E84" s="84"/>
      <c r="G84" s="82" t="s">
        <v>60</v>
      </c>
      <c r="H84" s="30" t="s">
        <v>61</v>
      </c>
    </row>
    <row r="85" spans="1:8" ht="18" customHeight="1">
      <c r="A85" s="83" t="s">
        <v>1</v>
      </c>
      <c r="B85" s="338" t="s">
        <v>166</v>
      </c>
      <c r="C85" s="339"/>
      <c r="D85" s="83" t="s">
        <v>33</v>
      </c>
      <c r="E85" s="83" t="s">
        <v>34</v>
      </c>
      <c r="F85" s="83" t="s">
        <v>35</v>
      </c>
      <c r="G85" s="83" t="s">
        <v>36</v>
      </c>
      <c r="H85" s="83" t="s">
        <v>37</v>
      </c>
    </row>
    <row r="86" spans="1:8" ht="18" customHeight="1">
      <c r="A86" s="95">
        <v>1</v>
      </c>
      <c r="B86" s="332" t="s">
        <v>147</v>
      </c>
      <c r="C86" s="333"/>
      <c r="D86" s="23">
        <f t="shared" ref="D86:H90" si="41">D33*D59</f>
        <v>4272000</v>
      </c>
      <c r="E86" s="23">
        <f t="shared" si="41"/>
        <v>4466162.3999999994</v>
      </c>
      <c r="F86" s="23">
        <f t="shared" si="41"/>
        <v>4669149.4810799994</v>
      </c>
      <c r="G86" s="23">
        <f t="shared" si="41"/>
        <v>4881362.3249950847</v>
      </c>
      <c r="H86" s="23">
        <f t="shared" si="41"/>
        <v>5103220.2426661104</v>
      </c>
    </row>
    <row r="87" spans="1:8" ht="18" customHeight="1">
      <c r="A87" s="95">
        <v>2</v>
      </c>
      <c r="B87" s="332" t="s">
        <v>148</v>
      </c>
      <c r="C87" s="333"/>
      <c r="D87" s="23">
        <f t="shared" si="41"/>
        <v>4042000</v>
      </c>
      <c r="E87" s="23">
        <f t="shared" si="41"/>
        <v>4225708.9000000004</v>
      </c>
      <c r="F87" s="23">
        <f t="shared" si="41"/>
        <v>4417767.3695049994</v>
      </c>
      <c r="G87" s="23">
        <f t="shared" si="41"/>
        <v>4618554.8964490015</v>
      </c>
      <c r="H87" s="23">
        <f t="shared" si="41"/>
        <v>4828468.2164926073</v>
      </c>
    </row>
    <row r="88" spans="1:8" ht="18" customHeight="1">
      <c r="A88" s="95">
        <v>3</v>
      </c>
      <c r="B88" s="332" t="s">
        <v>149</v>
      </c>
      <c r="C88" s="333"/>
      <c r="D88" s="23">
        <f t="shared" si="41"/>
        <v>1622000</v>
      </c>
      <c r="E88" s="23">
        <f t="shared" si="41"/>
        <v>1695719.8999999997</v>
      </c>
      <c r="F88" s="23">
        <f t="shared" si="41"/>
        <v>1772790.3694549997</v>
      </c>
      <c r="G88" s="23">
        <f t="shared" si="41"/>
        <v>1853363.6917467292</v>
      </c>
      <c r="H88" s="23">
        <f t="shared" si="41"/>
        <v>1937599.0715366178</v>
      </c>
    </row>
    <row r="89" spans="1:8" ht="18" customHeight="1">
      <c r="A89" s="95">
        <v>4</v>
      </c>
      <c r="B89" s="332" t="s">
        <v>155</v>
      </c>
      <c r="C89" s="333"/>
      <c r="D89" s="23">
        <f t="shared" si="41"/>
        <v>10614000</v>
      </c>
      <c r="E89" s="23">
        <f t="shared" si="41"/>
        <v>11096406.299999999</v>
      </c>
      <c r="F89" s="23">
        <f t="shared" si="41"/>
        <v>11600737.966334999</v>
      </c>
      <c r="G89" s="23">
        <f t="shared" si="41"/>
        <v>12127991.506904924</v>
      </c>
      <c r="H89" s="23">
        <f t="shared" si="41"/>
        <v>12679208.720893754</v>
      </c>
    </row>
    <row r="90" spans="1:8" ht="18" customHeight="1">
      <c r="A90" s="95">
        <v>5</v>
      </c>
      <c r="B90" s="332" t="s">
        <v>150</v>
      </c>
      <c r="C90" s="333"/>
      <c r="D90" s="23">
        <f t="shared" si="41"/>
        <v>24346000</v>
      </c>
      <c r="E90" s="23">
        <f t="shared" si="41"/>
        <v>25452525.699999999</v>
      </c>
      <c r="F90" s="23">
        <f t="shared" si="41"/>
        <v>26609342.993064996</v>
      </c>
      <c r="G90" s="23">
        <f t="shared" si="41"/>
        <v>27818737.632099796</v>
      </c>
      <c r="H90" s="23">
        <f t="shared" si="41"/>
        <v>29083099.257478729</v>
      </c>
    </row>
    <row r="91" spans="1:8" ht="18" customHeight="1">
      <c r="A91" s="176">
        <v>6</v>
      </c>
      <c r="B91" s="332" t="s">
        <v>485</v>
      </c>
      <c r="C91" s="333"/>
      <c r="D91" s="23">
        <f>SUM(D86:D90)*$F$26</f>
        <v>2244800</v>
      </c>
      <c r="E91" s="23">
        <f t="shared" ref="E91:H91" si="42">SUM(E86:E90)*$F$26</f>
        <v>2346826.16</v>
      </c>
      <c r="F91" s="23">
        <f t="shared" si="42"/>
        <v>2453489.4089719998</v>
      </c>
      <c r="G91" s="23">
        <f t="shared" si="42"/>
        <v>2565000.5026097768</v>
      </c>
      <c r="H91" s="23">
        <f t="shared" si="42"/>
        <v>2681579.775453391</v>
      </c>
    </row>
    <row r="92" spans="1:8" ht="18" customHeight="1">
      <c r="A92" s="95"/>
      <c r="B92" s="316" t="s">
        <v>167</v>
      </c>
      <c r="C92" s="316"/>
      <c r="D92" s="28">
        <f>SUM(D86:D91)</f>
        <v>47140800</v>
      </c>
      <c r="E92" s="28">
        <f t="shared" ref="E92:H92" si="43">SUM(E86:E91)</f>
        <v>49283349.359999999</v>
      </c>
      <c r="F92" s="28">
        <f t="shared" si="43"/>
        <v>51523277.588411994</v>
      </c>
      <c r="G92" s="28">
        <f t="shared" si="43"/>
        <v>53865010.554805309</v>
      </c>
      <c r="H92" s="28">
        <f t="shared" si="43"/>
        <v>56313175.284521207</v>
      </c>
    </row>
    <row r="93" spans="1:8">
      <c r="A93" s="104"/>
      <c r="B93" s="105"/>
      <c r="C93" s="105"/>
      <c r="D93" s="106"/>
      <c r="E93" s="106"/>
      <c r="F93" s="106"/>
      <c r="G93" s="106"/>
      <c r="H93" s="106"/>
    </row>
    <row r="94" spans="1:8">
      <c r="A94" s="223"/>
      <c r="B94" s="223"/>
      <c r="C94" s="223"/>
      <c r="D94" s="223"/>
      <c r="E94" s="223"/>
      <c r="G94" s="82" t="s">
        <v>60</v>
      </c>
      <c r="H94" s="30" t="s">
        <v>61</v>
      </c>
    </row>
    <row r="95" spans="1:8">
      <c r="A95" s="221" t="s">
        <v>1</v>
      </c>
      <c r="B95" s="338" t="s">
        <v>166</v>
      </c>
      <c r="C95" s="339"/>
      <c r="D95" s="221" t="s">
        <v>50</v>
      </c>
      <c r="E95" s="221" t="s">
        <v>51</v>
      </c>
      <c r="F95" s="221" t="s">
        <v>52</v>
      </c>
      <c r="G95" s="221" t="s">
        <v>53</v>
      </c>
      <c r="H95" s="221" t="s">
        <v>54</v>
      </c>
    </row>
    <row r="96" spans="1:8">
      <c r="A96" s="176">
        <v>1</v>
      </c>
      <c r="B96" s="332" t="s">
        <v>147</v>
      </c>
      <c r="C96" s="333"/>
      <c r="D96" s="23">
        <f>D41*D68</f>
        <v>5335161.6026952844</v>
      </c>
      <c r="E96" s="23">
        <f t="shared" ref="E96:H96" si="44">E41*E68</f>
        <v>5577644.6975377845</v>
      </c>
      <c r="F96" s="23">
        <f t="shared" si="44"/>
        <v>5831148.649040876</v>
      </c>
      <c r="G96" s="23">
        <f t="shared" si="44"/>
        <v>6096174.3551397827</v>
      </c>
      <c r="H96" s="23">
        <f t="shared" si="44"/>
        <v>6373245.4795808857</v>
      </c>
    </row>
    <row r="97" spans="1:8">
      <c r="A97" s="176">
        <v>2</v>
      </c>
      <c r="B97" s="332" t="s">
        <v>148</v>
      </c>
      <c r="C97" s="333"/>
      <c r="D97" s="23">
        <f t="shared" ref="D97:H100" si="45">D42*D69</f>
        <v>5047922.0969321961</v>
      </c>
      <c r="E97" s="23">
        <f t="shared" si="45"/>
        <v>5277350.1562377643</v>
      </c>
      <c r="F97" s="23">
        <f t="shared" si="45"/>
        <v>5517205.7208387703</v>
      </c>
      <c r="G97" s="23">
        <f t="shared" si="45"/>
        <v>5767962.7208508914</v>
      </c>
      <c r="H97" s="23">
        <f t="shared" si="45"/>
        <v>6030116.626513564</v>
      </c>
    </row>
    <row r="98" spans="1:8">
      <c r="A98" s="176">
        <v>3</v>
      </c>
      <c r="B98" s="332" t="s">
        <v>149</v>
      </c>
      <c r="C98" s="333"/>
      <c r="D98" s="23">
        <f t="shared" si="45"/>
        <v>2025662.9493379565</v>
      </c>
      <c r="E98" s="23">
        <f t="shared" si="45"/>
        <v>2117729.3303853665</v>
      </c>
      <c r="F98" s="23">
        <f t="shared" si="45"/>
        <v>2213980.1284513813</v>
      </c>
      <c r="G98" s="23">
        <f t="shared" si="45"/>
        <v>2314605.5252894964</v>
      </c>
      <c r="H98" s="23">
        <f t="shared" si="45"/>
        <v>2419804.3464139039</v>
      </c>
    </row>
    <row r="99" spans="1:8">
      <c r="A99" s="176">
        <v>4</v>
      </c>
      <c r="B99" s="332" t="s">
        <v>155</v>
      </c>
      <c r="C99" s="333"/>
      <c r="D99" s="23">
        <f t="shared" si="45"/>
        <v>13255478.757258374</v>
      </c>
      <c r="E99" s="23">
        <f t="shared" si="45"/>
        <v>13857940.266775766</v>
      </c>
      <c r="F99" s="23">
        <f t="shared" si="45"/>
        <v>14487783.651900724</v>
      </c>
      <c r="G99" s="23">
        <f t="shared" si="45"/>
        <v>15146253.418879611</v>
      </c>
      <c r="H99" s="23">
        <f t="shared" si="45"/>
        <v>15834650.636767689</v>
      </c>
    </row>
    <row r="100" spans="1:8">
      <c r="A100" s="176">
        <v>5</v>
      </c>
      <c r="B100" s="332" t="s">
        <v>150</v>
      </c>
      <c r="C100" s="333"/>
      <c r="D100" s="23">
        <f t="shared" si="45"/>
        <v>30404926.118731137</v>
      </c>
      <c r="E100" s="23">
        <f t="shared" si="45"/>
        <v>31786830.010827463</v>
      </c>
      <c r="F100" s="23">
        <f t="shared" si="45"/>
        <v>33231541.434819575</v>
      </c>
      <c r="G100" s="23">
        <f t="shared" si="45"/>
        <v>34741914.99303212</v>
      </c>
      <c r="H100" s="23">
        <f t="shared" si="45"/>
        <v>36320935.029465429</v>
      </c>
    </row>
    <row r="101" spans="1:8">
      <c r="A101" s="176">
        <v>6</v>
      </c>
      <c r="B101" s="332" t="s">
        <v>485</v>
      </c>
      <c r="C101" s="333"/>
      <c r="D101" s="23">
        <f>SUM(D96:D100)*$F$26</f>
        <v>2803457.5762477475</v>
      </c>
      <c r="E101" s="23">
        <f t="shared" ref="E101:H101" si="46">SUM(E96:E100)*$F$26</f>
        <v>2930874.7230882072</v>
      </c>
      <c r="F101" s="23">
        <f t="shared" si="46"/>
        <v>3064082.9792525666</v>
      </c>
      <c r="G101" s="23">
        <f t="shared" si="46"/>
        <v>3203345.5506595951</v>
      </c>
      <c r="H101" s="23">
        <f t="shared" si="46"/>
        <v>3348937.6059370735</v>
      </c>
    </row>
    <row r="102" spans="1:8">
      <c r="A102" s="176"/>
      <c r="B102" s="316" t="s">
        <v>167</v>
      </c>
      <c r="C102" s="316"/>
      <c r="D102" s="28">
        <f>SUM(D96:D101)</f>
        <v>58872609.101202689</v>
      </c>
      <c r="E102" s="28">
        <f t="shared" ref="E102:H102" si="47">SUM(E96:E101)</f>
        <v>61548369.184852347</v>
      </c>
      <c r="F102" s="28">
        <f t="shared" si="47"/>
        <v>64345742.564303897</v>
      </c>
      <c r="G102" s="28">
        <f t="shared" si="47"/>
        <v>67270256.563851491</v>
      </c>
      <c r="H102" s="28">
        <f t="shared" si="47"/>
        <v>70327689.724678546</v>
      </c>
    </row>
    <row r="103" spans="1:8">
      <c r="A103" s="104"/>
      <c r="B103" s="105"/>
      <c r="C103" s="105"/>
      <c r="D103" s="106"/>
      <c r="E103" s="106"/>
      <c r="F103" s="106"/>
      <c r="G103" s="106"/>
      <c r="H103" s="106"/>
    </row>
    <row r="104" spans="1:8">
      <c r="A104" s="223"/>
      <c r="B104" s="223"/>
      <c r="C104" s="223"/>
      <c r="D104" s="223"/>
      <c r="E104" s="223"/>
      <c r="G104" s="82" t="s">
        <v>60</v>
      </c>
      <c r="H104" s="30" t="s">
        <v>61</v>
      </c>
    </row>
    <row r="105" spans="1:8">
      <c r="A105" s="221" t="s">
        <v>1</v>
      </c>
      <c r="B105" s="338" t="s">
        <v>166</v>
      </c>
      <c r="C105" s="339"/>
      <c r="D105" s="221" t="s">
        <v>55</v>
      </c>
      <c r="E105" s="221" t="s">
        <v>56</v>
      </c>
      <c r="F105" s="221" t="s">
        <v>57</v>
      </c>
      <c r="G105" s="221" t="s">
        <v>58</v>
      </c>
      <c r="H105" s="221" t="s">
        <v>59</v>
      </c>
    </row>
    <row r="106" spans="1:8">
      <c r="A106" s="176">
        <v>1</v>
      </c>
      <c r="B106" s="332" t="s">
        <v>147</v>
      </c>
      <c r="C106" s="333"/>
      <c r="D106" s="23">
        <f>D49*D77</f>
        <v>6662909.4866278358</v>
      </c>
      <c r="E106" s="23">
        <f t="shared" ref="E106:H106" si="48">E49*E77</f>
        <v>6965738.7227950711</v>
      </c>
      <c r="F106" s="23">
        <f t="shared" si="48"/>
        <v>7282331.547746107</v>
      </c>
      <c r="G106" s="23">
        <f t="shared" si="48"/>
        <v>7613313.5165911661</v>
      </c>
      <c r="H106" s="23">
        <f t="shared" si="48"/>
        <v>7959338.6159202345</v>
      </c>
    </row>
    <row r="107" spans="1:8">
      <c r="A107" s="176">
        <v>2</v>
      </c>
      <c r="B107" s="332" t="s">
        <v>148</v>
      </c>
      <c r="C107" s="333"/>
      <c r="D107" s="23">
        <f t="shared" ref="D107:H107" si="49">D50*D78</f>
        <v>6304185.4271886051</v>
      </c>
      <c r="E107" s="23">
        <f t="shared" si="49"/>
        <v>6590710.6548543274</v>
      </c>
      <c r="F107" s="23">
        <f t="shared" si="49"/>
        <v>6890258.4541174574</v>
      </c>
      <c r="G107" s="23">
        <f t="shared" si="49"/>
        <v>7203420.7008570945</v>
      </c>
      <c r="H107" s="23">
        <f t="shared" si="49"/>
        <v>7530816.171711049</v>
      </c>
    </row>
    <row r="108" spans="1:8">
      <c r="A108" s="176">
        <v>3</v>
      </c>
      <c r="B108" s="332" t="s">
        <v>149</v>
      </c>
      <c r="C108" s="333"/>
      <c r="D108" s="23">
        <f t="shared" ref="D108:H108" si="50">D51*D79</f>
        <v>2529784.4539584159</v>
      </c>
      <c r="E108" s="23">
        <f t="shared" si="50"/>
        <v>2644763.1573908259</v>
      </c>
      <c r="F108" s="23">
        <f t="shared" si="50"/>
        <v>2764967.6428942382</v>
      </c>
      <c r="G108" s="23">
        <f t="shared" si="50"/>
        <v>2890635.4222637815</v>
      </c>
      <c r="H108" s="23">
        <f t="shared" si="50"/>
        <v>3022014.8022056702</v>
      </c>
    </row>
    <row r="109" spans="1:8">
      <c r="A109" s="176">
        <v>4</v>
      </c>
      <c r="B109" s="332" t="s">
        <v>155</v>
      </c>
      <c r="C109" s="333"/>
      <c r="D109" s="23">
        <f t="shared" ref="D109:H109" si="51">D52*D80</f>
        <v>16554335.508208781</v>
      </c>
      <c r="E109" s="23">
        <f t="shared" si="51"/>
        <v>17306730.05705687</v>
      </c>
      <c r="F109" s="23">
        <f t="shared" si="51"/>
        <v>18093320.938150104</v>
      </c>
      <c r="G109" s="23">
        <f t="shared" si="51"/>
        <v>18915662.374789029</v>
      </c>
      <c r="H109" s="23">
        <f t="shared" si="51"/>
        <v>19775379.229723185</v>
      </c>
    </row>
    <row r="110" spans="1:8">
      <c r="A110" s="176">
        <v>5</v>
      </c>
      <c r="B110" s="332" t="s">
        <v>150</v>
      </c>
      <c r="C110" s="333"/>
      <c r="D110" s="23">
        <f t="shared" ref="D110:H110" si="52">D53*D81</f>
        <v>37971721.526554629</v>
      </c>
      <c r="E110" s="23">
        <f t="shared" si="52"/>
        <v>39697536.269936532</v>
      </c>
      <c r="F110" s="23">
        <f t="shared" si="52"/>
        <v>41501789.293405153</v>
      </c>
      <c r="G110" s="23">
        <f t="shared" si="52"/>
        <v>43388045.616790414</v>
      </c>
      <c r="H110" s="23">
        <f t="shared" si="52"/>
        <v>45360032.290073536</v>
      </c>
    </row>
    <row r="111" spans="1:8">
      <c r="A111" s="176">
        <v>6</v>
      </c>
      <c r="B111" s="332" t="s">
        <v>485</v>
      </c>
      <c r="C111" s="333"/>
      <c r="D111" s="23">
        <f>SUM(D106:D110)*$F$26</f>
        <v>3501146.8201269135</v>
      </c>
      <c r="E111" s="23">
        <f t="shared" ref="E111:H111" si="53">SUM(E106:E110)*$F$26</f>
        <v>3660273.9431016818</v>
      </c>
      <c r="F111" s="23">
        <f t="shared" si="53"/>
        <v>3826633.3938156534</v>
      </c>
      <c r="G111" s="23">
        <f t="shared" si="53"/>
        <v>4000553.8815645743</v>
      </c>
      <c r="H111" s="23">
        <f t="shared" si="53"/>
        <v>4182379.0554816844</v>
      </c>
    </row>
    <row r="112" spans="1:8">
      <c r="A112" s="176"/>
      <c r="B112" s="316" t="s">
        <v>167</v>
      </c>
      <c r="C112" s="316"/>
      <c r="D112" s="28">
        <f>SUM(D106:D111)</f>
        <v>73524083.222665191</v>
      </c>
      <c r="E112" s="28">
        <f t="shared" ref="E112:H112" si="54">SUM(E106:E111)</f>
        <v>76865752.80513531</v>
      </c>
      <c r="F112" s="28">
        <f t="shared" si="54"/>
        <v>80359301.270128712</v>
      </c>
      <c r="G112" s="28">
        <f t="shared" si="54"/>
        <v>84011631.512856051</v>
      </c>
      <c r="H112" s="28">
        <f t="shared" si="54"/>
        <v>87829960.165115371</v>
      </c>
    </row>
    <row r="113" spans="1:8">
      <c r="A113" s="104"/>
      <c r="B113" s="105"/>
      <c r="C113" s="105"/>
      <c r="D113" s="106"/>
      <c r="E113" s="106"/>
      <c r="F113" s="106"/>
      <c r="G113" s="106"/>
      <c r="H113" s="106"/>
    </row>
    <row r="114" spans="1:8" ht="18" customHeight="1">
      <c r="A114" s="314" t="s">
        <v>168</v>
      </c>
      <c r="B114" s="314"/>
      <c r="C114" s="314"/>
      <c r="D114" s="314"/>
      <c r="E114" s="314"/>
      <c r="F114" s="314"/>
      <c r="G114" s="314"/>
      <c r="H114" s="314"/>
    </row>
    <row r="115" spans="1:8" ht="18" customHeight="1">
      <c r="A115" s="89" t="s">
        <v>67</v>
      </c>
    </row>
    <row r="116" spans="1:8" ht="18" customHeight="1">
      <c r="A116" s="89" t="s">
        <v>63</v>
      </c>
    </row>
    <row r="117" spans="1:8" ht="18" customHeight="1">
      <c r="A117" s="88" t="s">
        <v>64</v>
      </c>
    </row>
    <row r="118" spans="1:8" ht="18" customHeight="1">
      <c r="A118" s="88" t="s">
        <v>65</v>
      </c>
      <c r="C118" s="31">
        <v>0.1</v>
      </c>
      <c r="D118" s="229" t="s">
        <v>340</v>
      </c>
    </row>
    <row r="119" spans="1:8" ht="18" customHeight="1">
      <c r="A119" s="88" t="s">
        <v>69</v>
      </c>
      <c r="C119" s="31">
        <v>0.215</v>
      </c>
      <c r="D119" s="88" t="s">
        <v>68</v>
      </c>
    </row>
    <row r="120" spans="1:8" ht="18" customHeight="1">
      <c r="A120" s="88" t="s">
        <v>71</v>
      </c>
      <c r="C120" s="96">
        <v>13</v>
      </c>
      <c r="D120" s="88" t="s">
        <v>70</v>
      </c>
    </row>
    <row r="121" spans="1:8" ht="18" customHeight="1">
      <c r="A121" s="88" t="s">
        <v>73</v>
      </c>
      <c r="C121" s="31">
        <v>0.03</v>
      </c>
      <c r="D121" s="88" t="s">
        <v>72</v>
      </c>
    </row>
    <row r="122" spans="1:8" ht="21.75" customHeight="1">
      <c r="A122" s="84" t="s">
        <v>96</v>
      </c>
      <c r="B122" s="84"/>
    </row>
    <row r="123" spans="1:8" ht="16.5" customHeight="1">
      <c r="A123" s="84"/>
      <c r="B123" s="84"/>
      <c r="G123" s="29" t="s">
        <v>60</v>
      </c>
      <c r="H123" s="30" t="s">
        <v>61</v>
      </c>
    </row>
    <row r="124" spans="1:8" ht="54" customHeight="1">
      <c r="A124" s="91" t="s">
        <v>1</v>
      </c>
      <c r="B124" s="91" t="s">
        <v>75</v>
      </c>
      <c r="C124" s="91" t="s">
        <v>74</v>
      </c>
      <c r="D124" s="91" t="s">
        <v>76</v>
      </c>
      <c r="E124" s="91" t="s">
        <v>77</v>
      </c>
      <c r="F124" s="33" t="s">
        <v>78</v>
      </c>
      <c r="G124" s="34" t="s">
        <v>79</v>
      </c>
      <c r="H124" s="35" t="s">
        <v>80</v>
      </c>
    </row>
    <row r="125" spans="1:8" ht="17.100000000000001" customHeight="1">
      <c r="A125" s="95">
        <v>1</v>
      </c>
      <c r="B125" s="92" t="s">
        <v>169</v>
      </c>
      <c r="C125" s="95">
        <v>1</v>
      </c>
      <c r="D125" s="93">
        <v>15000</v>
      </c>
      <c r="E125" s="93">
        <f>D125*10%</f>
        <v>1500</v>
      </c>
      <c r="F125" s="93">
        <f>D125+E125</f>
        <v>16500</v>
      </c>
      <c r="G125" s="93">
        <f>F125*$C$120*C125</f>
        <v>214500</v>
      </c>
      <c r="H125" s="93">
        <f>D125*12*$C$119*C125</f>
        <v>38700</v>
      </c>
    </row>
    <row r="126" spans="1:8" ht="17.100000000000001" customHeight="1">
      <c r="A126" s="95">
        <v>2</v>
      </c>
      <c r="B126" s="92" t="s">
        <v>170</v>
      </c>
      <c r="C126" s="95">
        <v>9</v>
      </c>
      <c r="D126" s="93">
        <v>7000</v>
      </c>
      <c r="E126" s="93">
        <f t="shared" ref="E126:E127" si="55">D126*10%</f>
        <v>700</v>
      </c>
      <c r="F126" s="93">
        <f t="shared" ref="F126:F127" si="56">D126+E126</f>
        <v>7700</v>
      </c>
      <c r="G126" s="93">
        <f>F126*$C$120*C126</f>
        <v>900900</v>
      </c>
      <c r="H126" s="93">
        <f>D126*12*$C$119*C126</f>
        <v>162540</v>
      </c>
    </row>
    <row r="127" spans="1:8" ht="17.100000000000001" customHeight="1">
      <c r="A127" s="95">
        <v>3</v>
      </c>
      <c r="B127" s="92" t="s">
        <v>171</v>
      </c>
      <c r="C127" s="95">
        <v>2</v>
      </c>
      <c r="D127" s="93">
        <v>5000</v>
      </c>
      <c r="E127" s="93">
        <f t="shared" si="55"/>
        <v>500</v>
      </c>
      <c r="F127" s="93">
        <f t="shared" si="56"/>
        <v>5500</v>
      </c>
      <c r="G127" s="93">
        <f>F127*$C$120*C127</f>
        <v>143000</v>
      </c>
      <c r="H127" s="93">
        <f>D127*12*$C$119*C127</f>
        <v>25800</v>
      </c>
    </row>
    <row r="128" spans="1:8" ht="17.100000000000001" customHeight="1">
      <c r="A128" s="95"/>
      <c r="B128" s="83" t="s">
        <v>89</v>
      </c>
      <c r="C128" s="39">
        <f t="shared" ref="C128:H128" si="57">SUM(C125:C127)</f>
        <v>12</v>
      </c>
      <c r="D128" s="38">
        <f t="shared" si="57"/>
        <v>27000</v>
      </c>
      <c r="E128" s="38">
        <f t="shared" si="57"/>
        <v>2700</v>
      </c>
      <c r="F128" s="38">
        <f t="shared" si="57"/>
        <v>29700</v>
      </c>
      <c r="G128" s="38">
        <f t="shared" si="57"/>
        <v>1258400</v>
      </c>
      <c r="H128" s="38">
        <f t="shared" si="57"/>
        <v>227040</v>
      </c>
    </row>
    <row r="130" spans="1:9" ht="18.75" customHeight="1">
      <c r="A130" s="84" t="s">
        <v>97</v>
      </c>
    </row>
    <row r="131" spans="1:9" ht="16.5" customHeight="1">
      <c r="A131" s="84"/>
      <c r="G131" s="29" t="s">
        <v>60</v>
      </c>
      <c r="H131" s="30" t="s">
        <v>61</v>
      </c>
    </row>
    <row r="132" spans="1:9" ht="17.100000000000001" customHeight="1">
      <c r="A132" s="83" t="s">
        <v>1</v>
      </c>
      <c r="B132" s="316" t="s">
        <v>90</v>
      </c>
      <c r="C132" s="316"/>
      <c r="D132" s="83" t="s">
        <v>33</v>
      </c>
      <c r="E132" s="83" t="s">
        <v>34</v>
      </c>
      <c r="F132" s="83" t="s">
        <v>35</v>
      </c>
      <c r="G132" s="83" t="s">
        <v>36</v>
      </c>
      <c r="H132" s="12" t="s">
        <v>37</v>
      </c>
    </row>
    <row r="133" spans="1:9" ht="17.100000000000001" customHeight="1">
      <c r="A133" s="95">
        <v>1</v>
      </c>
      <c r="B133" s="317" t="s">
        <v>91</v>
      </c>
      <c r="C133" s="317"/>
      <c r="D133" s="144">
        <v>0</v>
      </c>
      <c r="E133" s="144">
        <f>C121</f>
        <v>0.03</v>
      </c>
      <c r="F133" s="144">
        <f>E133</f>
        <v>0.03</v>
      </c>
      <c r="G133" s="144">
        <f t="shared" ref="G133:H133" si="58">F133</f>
        <v>0.03</v>
      </c>
      <c r="H133" s="144">
        <f t="shared" si="58"/>
        <v>0.03</v>
      </c>
    </row>
    <row r="134" spans="1:9" ht="17.100000000000001" customHeight="1">
      <c r="A134" s="95">
        <v>2</v>
      </c>
      <c r="B134" s="317" t="s">
        <v>92</v>
      </c>
      <c r="C134" s="317"/>
      <c r="D134" s="158">
        <f>G128</f>
        <v>1258400</v>
      </c>
      <c r="E134" s="159">
        <f>D134*(1+E133)</f>
        <v>1296152</v>
      </c>
      <c r="F134" s="159">
        <f t="shared" ref="F134:H134" si="59">E134*(1+F133)</f>
        <v>1335036.56</v>
      </c>
      <c r="G134" s="159">
        <f t="shared" si="59"/>
        <v>1375087.6568</v>
      </c>
      <c r="H134" s="159">
        <f t="shared" si="59"/>
        <v>1416340.286504</v>
      </c>
      <c r="I134" s="37"/>
    </row>
    <row r="135" spans="1:9" ht="17.100000000000001" customHeight="1">
      <c r="A135" s="95">
        <v>3</v>
      </c>
      <c r="B135" s="317" t="s">
        <v>93</v>
      </c>
      <c r="C135" s="317"/>
      <c r="D135" s="158">
        <f>H128</f>
        <v>227040</v>
      </c>
      <c r="E135" s="159">
        <f>D135*(1+E133)</f>
        <v>233851.2</v>
      </c>
      <c r="F135" s="159">
        <f t="shared" ref="F135:H135" si="60">E135*(1+F133)</f>
        <v>240866.736</v>
      </c>
      <c r="G135" s="159">
        <f t="shared" si="60"/>
        <v>248092.73808000001</v>
      </c>
      <c r="H135" s="159">
        <f t="shared" si="60"/>
        <v>255535.52022240002</v>
      </c>
      <c r="I135" s="37"/>
    </row>
    <row r="136" spans="1:9">
      <c r="B136" s="308"/>
      <c r="C136" s="308"/>
    </row>
    <row r="137" spans="1:9">
      <c r="A137" s="221" t="s">
        <v>1</v>
      </c>
      <c r="B137" s="316" t="s">
        <v>90</v>
      </c>
      <c r="C137" s="316"/>
      <c r="D137" s="221" t="s">
        <v>50</v>
      </c>
      <c r="E137" s="221" t="s">
        <v>51</v>
      </c>
      <c r="F137" s="221" t="s">
        <v>52</v>
      </c>
      <c r="G137" s="221" t="s">
        <v>53</v>
      </c>
      <c r="H137" s="221" t="s">
        <v>54</v>
      </c>
    </row>
    <row r="138" spans="1:9">
      <c r="A138" s="176">
        <v>1</v>
      </c>
      <c r="B138" s="317" t="s">
        <v>91</v>
      </c>
      <c r="C138" s="317"/>
      <c r="D138" s="144">
        <f>H133</f>
        <v>0.03</v>
      </c>
      <c r="E138" s="144">
        <f>D138</f>
        <v>0.03</v>
      </c>
      <c r="F138" s="144">
        <f t="shared" ref="F138:H138" si="61">E138</f>
        <v>0.03</v>
      </c>
      <c r="G138" s="144">
        <f t="shared" si="61"/>
        <v>0.03</v>
      </c>
      <c r="H138" s="144">
        <f t="shared" si="61"/>
        <v>0.03</v>
      </c>
    </row>
    <row r="139" spans="1:9">
      <c r="A139" s="176">
        <v>2</v>
      </c>
      <c r="B139" s="317" t="s">
        <v>92</v>
      </c>
      <c r="C139" s="317"/>
      <c r="D139" s="158">
        <f>H134*(1+D138)</f>
        <v>1458830.4950991201</v>
      </c>
      <c r="E139" s="159">
        <f>D139*(1+E138)</f>
        <v>1502595.4099520936</v>
      </c>
      <c r="F139" s="159">
        <f t="shared" ref="F139:H139" si="62">E139*(1+F138)</f>
        <v>1547673.2722506565</v>
      </c>
      <c r="G139" s="159">
        <f t="shared" si="62"/>
        <v>1594103.4704181761</v>
      </c>
      <c r="H139" s="159">
        <f t="shared" si="62"/>
        <v>1641926.5745307214</v>
      </c>
    </row>
    <row r="140" spans="1:9">
      <c r="A140" s="176">
        <v>3</v>
      </c>
      <c r="B140" s="317" t="s">
        <v>93</v>
      </c>
      <c r="C140" s="317"/>
      <c r="D140" s="158">
        <f>H135*(1+D138)</f>
        <v>263201.58582907205</v>
      </c>
      <c r="E140" s="159">
        <f>D140*(1+E138)</f>
        <v>271097.6334039442</v>
      </c>
      <c r="F140" s="159">
        <f t="shared" ref="F140:H140" si="63">E140*(1+F138)</f>
        <v>279230.56240606256</v>
      </c>
      <c r="G140" s="159">
        <f t="shared" si="63"/>
        <v>287607.47927824443</v>
      </c>
      <c r="H140" s="159">
        <f t="shared" si="63"/>
        <v>296235.70365659177</v>
      </c>
    </row>
    <row r="141" spans="1:9">
      <c r="A141" s="222"/>
      <c r="B141" s="220"/>
      <c r="C141" s="220"/>
      <c r="D141" s="222"/>
    </row>
    <row r="142" spans="1:9">
      <c r="A142" s="221" t="s">
        <v>1</v>
      </c>
      <c r="B142" s="316" t="s">
        <v>90</v>
      </c>
      <c r="C142" s="316"/>
      <c r="D142" s="221" t="s">
        <v>55</v>
      </c>
      <c r="E142" s="221" t="s">
        <v>56</v>
      </c>
      <c r="F142" s="221" t="s">
        <v>57</v>
      </c>
      <c r="G142" s="221" t="s">
        <v>58</v>
      </c>
      <c r="H142" s="221" t="s">
        <v>59</v>
      </c>
    </row>
    <row r="143" spans="1:9">
      <c r="A143" s="176">
        <v>1</v>
      </c>
      <c r="B143" s="317" t="s">
        <v>91</v>
      </c>
      <c r="C143" s="317"/>
      <c r="D143" s="144">
        <f>H138</f>
        <v>0.03</v>
      </c>
      <c r="E143" s="144">
        <f>D143</f>
        <v>0.03</v>
      </c>
      <c r="F143" s="144">
        <f t="shared" ref="F143:H143" si="64">E143</f>
        <v>0.03</v>
      </c>
      <c r="G143" s="144">
        <f t="shared" si="64"/>
        <v>0.03</v>
      </c>
      <c r="H143" s="144">
        <f t="shared" si="64"/>
        <v>0.03</v>
      </c>
    </row>
    <row r="144" spans="1:9">
      <c r="A144" s="176">
        <v>2</v>
      </c>
      <c r="B144" s="317" t="s">
        <v>92</v>
      </c>
      <c r="C144" s="317"/>
      <c r="D144" s="158">
        <f>H139*(1+D143)</f>
        <v>1691184.3717666431</v>
      </c>
      <c r="E144" s="159">
        <f>D144*(1+E143)</f>
        <v>1741919.9029196424</v>
      </c>
      <c r="F144" s="159">
        <f t="shared" ref="F144" si="65">E144*(1+F143)</f>
        <v>1794177.5000072317</v>
      </c>
      <c r="G144" s="159">
        <f t="shared" ref="G144" si="66">F144*(1+G143)</f>
        <v>1848002.8250074487</v>
      </c>
      <c r="H144" s="159">
        <f t="shared" ref="H144" si="67">G144*(1+H143)</f>
        <v>1903442.9097576721</v>
      </c>
    </row>
    <row r="145" spans="1:13">
      <c r="A145" s="176">
        <v>3</v>
      </c>
      <c r="B145" s="317" t="s">
        <v>93</v>
      </c>
      <c r="C145" s="317"/>
      <c r="D145" s="158">
        <f>H140*(1+D143)</f>
        <v>305122.77476628951</v>
      </c>
      <c r="E145" s="159">
        <f>D145*(1+E143)</f>
        <v>314276.45800927823</v>
      </c>
      <c r="F145" s="159">
        <f t="shared" ref="F145:H145" si="68">E145*(1+F143)</f>
        <v>323704.75174955657</v>
      </c>
      <c r="G145" s="159">
        <f t="shared" si="68"/>
        <v>333415.89430204325</v>
      </c>
      <c r="H145" s="159">
        <f t="shared" si="68"/>
        <v>343418.37113110453</v>
      </c>
    </row>
    <row r="146" spans="1:13">
      <c r="A146" s="104"/>
      <c r="B146" s="233"/>
      <c r="C146" s="233"/>
      <c r="D146" s="306"/>
      <c r="E146" s="307"/>
      <c r="F146" s="307"/>
      <c r="G146" s="307"/>
      <c r="H146" s="307"/>
    </row>
    <row r="147" spans="1:13">
      <c r="A147" s="84" t="s">
        <v>234</v>
      </c>
    </row>
    <row r="148" spans="1:13">
      <c r="A148" s="318" t="s">
        <v>266</v>
      </c>
      <c r="B148" s="318"/>
      <c r="C148" s="318"/>
      <c r="D148" s="31">
        <v>0.92</v>
      </c>
      <c r="E148" s="308" t="s">
        <v>496</v>
      </c>
      <c r="F148" s="308"/>
      <c r="G148" s="308"/>
      <c r="H148" s="308"/>
    </row>
    <row r="149" spans="1:13" ht="16.5" customHeight="1">
      <c r="A149" s="318" t="s">
        <v>488</v>
      </c>
      <c r="B149" s="318"/>
      <c r="C149" s="318"/>
      <c r="D149" s="31">
        <v>0.8</v>
      </c>
      <c r="E149" s="220" t="s">
        <v>489</v>
      </c>
      <c r="F149" s="220"/>
      <c r="G149" s="220"/>
      <c r="H149" s="220"/>
    </row>
    <row r="150" spans="1:13" ht="16.5" customHeight="1">
      <c r="A150" s="318" t="s">
        <v>243</v>
      </c>
      <c r="B150" s="318"/>
      <c r="C150" s="318"/>
      <c r="D150" s="31">
        <v>5.0000000000000001E-3</v>
      </c>
      <c r="E150" s="308" t="s">
        <v>265</v>
      </c>
      <c r="F150" s="308"/>
      <c r="G150" s="308"/>
      <c r="H150" s="308"/>
    </row>
    <row r="151" spans="1:13" ht="16.5" customHeight="1">
      <c r="A151" s="318" t="s">
        <v>248</v>
      </c>
      <c r="B151" s="318"/>
      <c r="C151" s="318"/>
      <c r="D151" s="31">
        <v>5.0000000000000001E-3</v>
      </c>
      <c r="E151" s="308" t="s">
        <v>265</v>
      </c>
      <c r="F151" s="308"/>
      <c r="G151" s="308"/>
      <c r="H151" s="308"/>
    </row>
    <row r="152" spans="1:13">
      <c r="A152" s="104"/>
      <c r="B152" s="155"/>
      <c r="C152" s="155"/>
      <c r="D152" s="156"/>
      <c r="E152" s="157"/>
      <c r="F152" s="157"/>
      <c r="G152" s="157"/>
      <c r="H152" s="157"/>
    </row>
    <row r="153" spans="1:13">
      <c r="A153" s="331" t="s">
        <v>249</v>
      </c>
      <c r="B153" s="331"/>
      <c r="C153" s="331"/>
      <c r="D153" s="331"/>
      <c r="E153" s="331"/>
      <c r="F153" s="331"/>
      <c r="G153" s="331"/>
      <c r="H153" s="331"/>
    </row>
    <row r="154" spans="1:13">
      <c r="A154" s="104"/>
      <c r="B154" s="155"/>
      <c r="C154" s="155"/>
      <c r="D154" s="156"/>
      <c r="E154" s="157"/>
      <c r="F154" s="157"/>
      <c r="G154" s="82" t="s">
        <v>60</v>
      </c>
      <c r="H154" s="30" t="s">
        <v>61</v>
      </c>
    </row>
    <row r="155" spans="1:13">
      <c r="A155" s="319" t="s">
        <v>1</v>
      </c>
      <c r="B155" s="316" t="s">
        <v>90</v>
      </c>
      <c r="C155" s="316"/>
      <c r="D155" s="163" t="s">
        <v>33</v>
      </c>
      <c r="E155" s="164" t="s">
        <v>34</v>
      </c>
      <c r="F155" s="163" t="s">
        <v>35</v>
      </c>
      <c r="G155" s="164" t="s">
        <v>36</v>
      </c>
      <c r="H155" s="163" t="s">
        <v>37</v>
      </c>
    </row>
    <row r="156" spans="1:13">
      <c r="A156" s="319"/>
      <c r="B156" s="316" t="s">
        <v>94</v>
      </c>
      <c r="C156" s="316"/>
      <c r="D156" s="165">
        <v>1</v>
      </c>
      <c r="E156" s="166">
        <v>2</v>
      </c>
      <c r="F156" s="166">
        <v>3</v>
      </c>
      <c r="G156" s="166">
        <v>4</v>
      </c>
      <c r="H156" s="166">
        <v>5</v>
      </c>
    </row>
    <row r="157" spans="1:13">
      <c r="A157" s="95">
        <v>1</v>
      </c>
      <c r="B157" s="317" t="s">
        <v>250</v>
      </c>
      <c r="C157" s="317"/>
      <c r="D157" s="143">
        <f>D134</f>
        <v>1258400</v>
      </c>
      <c r="E157" s="143">
        <f t="shared" ref="E157:M157" si="69">E134</f>
        <v>1296152</v>
      </c>
      <c r="F157" s="143">
        <f t="shared" si="69"/>
        <v>1335036.56</v>
      </c>
      <c r="G157" s="143">
        <f t="shared" si="69"/>
        <v>1375087.6568</v>
      </c>
      <c r="H157" s="143">
        <f t="shared" si="69"/>
        <v>1416340.286504</v>
      </c>
      <c r="I157" s="143">
        <f t="shared" si="69"/>
        <v>0</v>
      </c>
      <c r="J157" s="143">
        <f t="shared" si="69"/>
        <v>0</v>
      </c>
      <c r="K157" s="143">
        <f t="shared" si="69"/>
        <v>0</v>
      </c>
      <c r="L157" s="143">
        <f t="shared" si="69"/>
        <v>0</v>
      </c>
      <c r="M157" s="143">
        <f t="shared" si="69"/>
        <v>0</v>
      </c>
    </row>
    <row r="158" spans="1:13">
      <c r="A158" s="95">
        <v>2</v>
      </c>
      <c r="B158" s="317" t="s">
        <v>251</v>
      </c>
      <c r="C158" s="317"/>
      <c r="D158" s="143">
        <f>D135</f>
        <v>227040</v>
      </c>
      <c r="E158" s="143">
        <f t="shared" ref="E158:M158" si="70">E135</f>
        <v>233851.2</v>
      </c>
      <c r="F158" s="143">
        <f t="shared" si="70"/>
        <v>240866.736</v>
      </c>
      <c r="G158" s="143">
        <f t="shared" si="70"/>
        <v>248092.73808000001</v>
      </c>
      <c r="H158" s="143">
        <f t="shared" si="70"/>
        <v>255535.52022240002</v>
      </c>
      <c r="I158" s="143">
        <f t="shared" si="70"/>
        <v>0</v>
      </c>
      <c r="J158" s="143">
        <f t="shared" si="70"/>
        <v>0</v>
      </c>
      <c r="K158" s="143">
        <f t="shared" si="70"/>
        <v>0</v>
      </c>
      <c r="L158" s="143">
        <f t="shared" si="70"/>
        <v>0</v>
      </c>
      <c r="M158" s="143">
        <f t="shared" si="70"/>
        <v>0</v>
      </c>
    </row>
    <row r="159" spans="1:13">
      <c r="A159" s="95">
        <v>3</v>
      </c>
      <c r="B159" s="317" t="s">
        <v>267</v>
      </c>
      <c r="C159" s="317"/>
      <c r="D159" s="143">
        <f>$D$148*SUM(D86:D90)</f>
        <v>41304320</v>
      </c>
      <c r="E159" s="143">
        <f t="shared" ref="E159:M159" si="71">$D$148*SUM(E86:E90)</f>
        <v>43181601.344000004</v>
      </c>
      <c r="F159" s="143">
        <f t="shared" si="71"/>
        <v>45144205.125084795</v>
      </c>
      <c r="G159" s="143">
        <f t="shared" si="71"/>
        <v>47196009.248019896</v>
      </c>
      <c r="H159" s="143">
        <f t="shared" si="71"/>
        <v>49341067.868342392</v>
      </c>
      <c r="I159" s="143">
        <f t="shared" si="71"/>
        <v>0</v>
      </c>
      <c r="J159" s="143">
        <f t="shared" si="71"/>
        <v>0</v>
      </c>
      <c r="K159" s="143">
        <f t="shared" si="71"/>
        <v>0</v>
      </c>
      <c r="L159" s="143">
        <f t="shared" si="71"/>
        <v>0</v>
      </c>
      <c r="M159" s="143">
        <f t="shared" si="71"/>
        <v>0</v>
      </c>
    </row>
    <row r="160" spans="1:13">
      <c r="A160" s="95">
        <v>4</v>
      </c>
      <c r="B160" s="317" t="s">
        <v>490</v>
      </c>
      <c r="C160" s="317"/>
      <c r="D160" s="143">
        <f>$D$149*D91</f>
        <v>1795840</v>
      </c>
      <c r="E160" s="143">
        <f t="shared" ref="E160:H160" si="72">$D$149*E91</f>
        <v>1877460.9280000003</v>
      </c>
      <c r="F160" s="143">
        <f t="shared" si="72"/>
        <v>1962791.5271776</v>
      </c>
      <c r="G160" s="143">
        <f t="shared" si="72"/>
        <v>2052000.4020878216</v>
      </c>
      <c r="H160" s="143">
        <f t="shared" si="72"/>
        <v>2145263.8203627127</v>
      </c>
      <c r="I160" s="143">
        <f t="shared" ref="I160:M160" si="73">$D$149*I101</f>
        <v>0</v>
      </c>
      <c r="J160" s="143">
        <f t="shared" si="73"/>
        <v>0</v>
      </c>
      <c r="K160" s="143">
        <f t="shared" si="73"/>
        <v>0</v>
      </c>
      <c r="L160" s="143">
        <f t="shared" si="73"/>
        <v>0</v>
      </c>
      <c r="M160" s="143">
        <f t="shared" si="73"/>
        <v>0</v>
      </c>
    </row>
    <row r="161" spans="1:13">
      <c r="A161" s="95">
        <v>5</v>
      </c>
      <c r="B161" s="317" t="s">
        <v>252</v>
      </c>
      <c r="C161" s="317"/>
      <c r="D161" s="143">
        <f>$D$150*D92</f>
        <v>235704</v>
      </c>
      <c r="E161" s="143">
        <f t="shared" ref="E161:M161" si="74">$D$150*E102</f>
        <v>307741.84592426172</v>
      </c>
      <c r="F161" s="143">
        <f t="shared" si="74"/>
        <v>321728.71282151947</v>
      </c>
      <c r="G161" s="143">
        <f t="shared" si="74"/>
        <v>336351.28281925747</v>
      </c>
      <c r="H161" s="143">
        <f t="shared" si="74"/>
        <v>351638.44862339273</v>
      </c>
      <c r="I161" s="143">
        <f t="shared" si="74"/>
        <v>0</v>
      </c>
      <c r="J161" s="143">
        <f t="shared" si="74"/>
        <v>0</v>
      </c>
      <c r="K161" s="143">
        <f t="shared" si="74"/>
        <v>0</v>
      </c>
      <c r="L161" s="143">
        <f t="shared" si="74"/>
        <v>0</v>
      </c>
      <c r="M161" s="143">
        <f t="shared" si="74"/>
        <v>0</v>
      </c>
    </row>
    <row r="162" spans="1:13">
      <c r="A162" s="95">
        <v>6</v>
      </c>
      <c r="B162" s="317" t="s">
        <v>258</v>
      </c>
      <c r="C162" s="317"/>
      <c r="D162" s="143">
        <f>$D$151*D92</f>
        <v>235704</v>
      </c>
      <c r="E162" s="143">
        <f t="shared" ref="E162:M162" si="75">$D$151*E102</f>
        <v>307741.84592426172</v>
      </c>
      <c r="F162" s="143">
        <f t="shared" si="75"/>
        <v>321728.71282151947</v>
      </c>
      <c r="G162" s="143">
        <f t="shared" si="75"/>
        <v>336351.28281925747</v>
      </c>
      <c r="H162" s="143">
        <f t="shared" si="75"/>
        <v>351638.44862339273</v>
      </c>
      <c r="I162" s="143">
        <f t="shared" si="75"/>
        <v>0</v>
      </c>
      <c r="J162" s="143">
        <f t="shared" si="75"/>
        <v>0</v>
      </c>
      <c r="K162" s="143">
        <f t="shared" si="75"/>
        <v>0</v>
      </c>
      <c r="L162" s="143">
        <f t="shared" si="75"/>
        <v>0</v>
      </c>
      <c r="M162" s="143">
        <f t="shared" si="75"/>
        <v>0</v>
      </c>
    </row>
    <row r="163" spans="1:13">
      <c r="A163" s="95"/>
      <c r="B163" s="316" t="s">
        <v>259</v>
      </c>
      <c r="C163" s="316"/>
      <c r="D163" s="167">
        <f>SUM(D157:D162)</f>
        <v>45057008</v>
      </c>
      <c r="E163" s="28">
        <f>SUM(E157:E162)</f>
        <v>47204549.163848527</v>
      </c>
      <c r="F163" s="28">
        <f>SUM(F157:F162)</f>
        <v>49326357.373905435</v>
      </c>
      <c r="G163" s="28">
        <f>SUM(G157:G162)</f>
        <v>51543892.610626228</v>
      </c>
      <c r="H163" s="28">
        <f>SUM(H157:H162)</f>
        <v>53861484.392678291</v>
      </c>
    </row>
    <row r="164" spans="1:13">
      <c r="B164" s="89"/>
      <c r="C164" s="89"/>
    </row>
    <row r="165" spans="1:13">
      <c r="A165" s="104"/>
      <c r="B165" s="233"/>
      <c r="C165" s="233"/>
      <c r="D165" s="156"/>
      <c r="E165" s="157"/>
      <c r="F165" s="157"/>
      <c r="G165" s="82" t="s">
        <v>60</v>
      </c>
      <c r="H165" s="30" t="s">
        <v>61</v>
      </c>
    </row>
    <row r="166" spans="1:13">
      <c r="A166" s="319" t="s">
        <v>1</v>
      </c>
      <c r="B166" s="316" t="s">
        <v>90</v>
      </c>
      <c r="C166" s="316"/>
      <c r="D166" s="163" t="s">
        <v>50</v>
      </c>
      <c r="E166" s="164" t="s">
        <v>51</v>
      </c>
      <c r="F166" s="163" t="s">
        <v>52</v>
      </c>
      <c r="G166" s="164" t="s">
        <v>53</v>
      </c>
      <c r="H166" s="163" t="s">
        <v>54</v>
      </c>
    </row>
    <row r="167" spans="1:13">
      <c r="A167" s="319"/>
      <c r="B167" s="316" t="s">
        <v>94</v>
      </c>
      <c r="C167" s="316"/>
      <c r="D167" s="165">
        <v>6</v>
      </c>
      <c r="E167" s="166">
        <v>7</v>
      </c>
      <c r="F167" s="166">
        <v>8</v>
      </c>
      <c r="G167" s="166">
        <v>9</v>
      </c>
      <c r="H167" s="166">
        <v>10</v>
      </c>
    </row>
    <row r="168" spans="1:13">
      <c r="A168" s="176">
        <v>1</v>
      </c>
      <c r="B168" s="317" t="s">
        <v>250</v>
      </c>
      <c r="C168" s="317"/>
      <c r="D168" s="143">
        <f>D139</f>
        <v>1458830.4950991201</v>
      </c>
      <c r="E168" s="143">
        <f t="shared" ref="E168:H168" si="76">E139</f>
        <v>1502595.4099520936</v>
      </c>
      <c r="F168" s="143">
        <f t="shared" si="76"/>
        <v>1547673.2722506565</v>
      </c>
      <c r="G168" s="143">
        <f t="shared" si="76"/>
        <v>1594103.4704181761</v>
      </c>
      <c r="H168" s="143">
        <f t="shared" si="76"/>
        <v>1641926.5745307214</v>
      </c>
    </row>
    <row r="169" spans="1:13">
      <c r="A169" s="176">
        <v>2</v>
      </c>
      <c r="B169" s="317" t="s">
        <v>251</v>
      </c>
      <c r="C169" s="317"/>
      <c r="D169" s="143">
        <f>D140</f>
        <v>263201.58582907205</v>
      </c>
      <c r="E169" s="143">
        <f t="shared" ref="E169:H169" si="77">E140</f>
        <v>271097.6334039442</v>
      </c>
      <c r="F169" s="143">
        <f t="shared" si="77"/>
        <v>279230.56240606256</v>
      </c>
      <c r="G169" s="143">
        <f t="shared" si="77"/>
        <v>287607.47927824443</v>
      </c>
      <c r="H169" s="143">
        <f t="shared" si="77"/>
        <v>296235.70365659177</v>
      </c>
    </row>
    <row r="170" spans="1:13">
      <c r="A170" s="176">
        <v>3</v>
      </c>
      <c r="B170" s="317" t="s">
        <v>267</v>
      </c>
      <c r="C170" s="317"/>
      <c r="D170" s="143">
        <f>$D$148*SUM(D96:D100)</f>
        <v>51583619.40295855</v>
      </c>
      <c r="E170" s="143">
        <f t="shared" ref="E170:H170" si="78">$D$148*SUM(E96:E100)</f>
        <v>53928094.904823013</v>
      </c>
      <c r="F170" s="143">
        <f t="shared" si="78"/>
        <v>56379126.818247221</v>
      </c>
      <c r="G170" s="143">
        <f t="shared" si="78"/>
        <v>58941558.132136554</v>
      </c>
      <c r="H170" s="143">
        <f t="shared" si="78"/>
        <v>61620451.949242152</v>
      </c>
    </row>
    <row r="171" spans="1:13">
      <c r="A171" s="176">
        <v>4</v>
      </c>
      <c r="B171" s="317" t="s">
        <v>490</v>
      </c>
      <c r="C171" s="317"/>
      <c r="D171" s="143">
        <f>$D$149*D101</f>
        <v>2242766.0609981981</v>
      </c>
      <c r="E171" s="143">
        <f t="shared" ref="E171:H171" si="79">$D$149*E101</f>
        <v>2344699.778470566</v>
      </c>
      <c r="F171" s="143">
        <f t="shared" si="79"/>
        <v>2451266.3834020533</v>
      </c>
      <c r="G171" s="143">
        <f t="shared" si="79"/>
        <v>2562676.4405276761</v>
      </c>
      <c r="H171" s="143">
        <f t="shared" si="79"/>
        <v>2679150.0847496591</v>
      </c>
    </row>
    <row r="172" spans="1:13">
      <c r="A172" s="176">
        <v>5</v>
      </c>
      <c r="B172" s="317" t="s">
        <v>252</v>
      </c>
      <c r="C172" s="317"/>
      <c r="D172" s="143">
        <f>$D$150*D102</f>
        <v>294363.04550601344</v>
      </c>
      <c r="E172" s="143">
        <f t="shared" ref="E172:H172" si="80">$D$150*E102</f>
        <v>307741.84592426172</v>
      </c>
      <c r="F172" s="143">
        <f t="shared" si="80"/>
        <v>321728.71282151947</v>
      </c>
      <c r="G172" s="143">
        <f t="shared" si="80"/>
        <v>336351.28281925747</v>
      </c>
      <c r="H172" s="143">
        <f t="shared" si="80"/>
        <v>351638.44862339273</v>
      </c>
    </row>
    <row r="173" spans="1:13">
      <c r="A173" s="176">
        <v>6</v>
      </c>
      <c r="B173" s="317" t="s">
        <v>258</v>
      </c>
      <c r="C173" s="317"/>
      <c r="D173" s="143">
        <f>$D$151*D102</f>
        <v>294363.04550601344</v>
      </c>
      <c r="E173" s="143">
        <f t="shared" ref="E173:H173" si="81">$D$151*E102</f>
        <v>307741.84592426172</v>
      </c>
      <c r="F173" s="143">
        <f t="shared" si="81"/>
        <v>321728.71282151947</v>
      </c>
      <c r="G173" s="143">
        <f t="shared" si="81"/>
        <v>336351.28281925747</v>
      </c>
      <c r="H173" s="143">
        <f t="shared" si="81"/>
        <v>351638.44862339273</v>
      </c>
    </row>
    <row r="174" spans="1:13">
      <c r="A174" s="176"/>
      <c r="B174" s="316" t="s">
        <v>259</v>
      </c>
      <c r="C174" s="316"/>
      <c r="D174" s="167">
        <f>SUM(D168:D173)</f>
        <v>56137143.635896973</v>
      </c>
      <c r="E174" s="28">
        <f>SUM(E168:E173)</f>
        <v>58661971.418498136</v>
      </c>
      <c r="F174" s="28">
        <f>SUM(F168:F173)</f>
        <v>61300754.461949036</v>
      </c>
      <c r="G174" s="28">
        <f>SUM(G168:G173)</f>
        <v>64058648.087999165</v>
      </c>
      <c r="H174" s="28">
        <f>SUM(H168:H173)</f>
        <v>66941041.209425911</v>
      </c>
    </row>
    <row r="175" spans="1:13">
      <c r="A175" s="222"/>
      <c r="B175" s="220"/>
      <c r="C175" s="220"/>
      <c r="D175" s="222"/>
    </row>
    <row r="176" spans="1:13">
      <c r="A176" s="104"/>
      <c r="B176" s="233"/>
      <c r="C176" s="233"/>
      <c r="D176" s="156"/>
      <c r="E176" s="157"/>
      <c r="F176" s="157"/>
      <c r="G176" s="82" t="s">
        <v>60</v>
      </c>
      <c r="H176" s="30" t="s">
        <v>61</v>
      </c>
    </row>
    <row r="177" spans="1:13">
      <c r="A177" s="319" t="s">
        <v>1</v>
      </c>
      <c r="B177" s="316" t="s">
        <v>90</v>
      </c>
      <c r="C177" s="316"/>
      <c r="D177" s="163" t="s">
        <v>55</v>
      </c>
      <c r="E177" s="164" t="s">
        <v>56</v>
      </c>
      <c r="F177" s="163" t="s">
        <v>57</v>
      </c>
      <c r="G177" s="164" t="s">
        <v>58</v>
      </c>
      <c r="H177" s="163" t="s">
        <v>59</v>
      </c>
      <c r="I177" s="164" t="s">
        <v>107</v>
      </c>
      <c r="J177" s="163" t="s">
        <v>108</v>
      </c>
      <c r="K177" s="164" t="s">
        <v>109</v>
      </c>
      <c r="L177" s="163" t="s">
        <v>110</v>
      </c>
      <c r="M177" s="164" t="s">
        <v>111</v>
      </c>
    </row>
    <row r="178" spans="1:13">
      <c r="A178" s="319"/>
      <c r="B178" s="316" t="s">
        <v>94</v>
      </c>
      <c r="C178" s="316"/>
      <c r="D178" s="165">
        <v>11</v>
      </c>
      <c r="E178" s="166">
        <v>12</v>
      </c>
      <c r="F178" s="166">
        <v>13</v>
      </c>
      <c r="G178" s="166">
        <v>14</v>
      </c>
      <c r="H178" s="166">
        <v>15</v>
      </c>
    </row>
    <row r="179" spans="1:13">
      <c r="A179" s="176">
        <v>1</v>
      </c>
      <c r="B179" s="317" t="s">
        <v>250</v>
      </c>
      <c r="C179" s="317"/>
      <c r="D179" s="143">
        <f>D144</f>
        <v>1691184.3717666431</v>
      </c>
      <c r="E179" s="143">
        <f t="shared" ref="E179:H179" si="82">E144</f>
        <v>1741919.9029196424</v>
      </c>
      <c r="F179" s="143">
        <f t="shared" si="82"/>
        <v>1794177.5000072317</v>
      </c>
      <c r="G179" s="143">
        <f t="shared" si="82"/>
        <v>1848002.8250074487</v>
      </c>
      <c r="H179" s="143">
        <f t="shared" si="82"/>
        <v>1903442.9097576721</v>
      </c>
    </row>
    <row r="180" spans="1:13">
      <c r="A180" s="176">
        <v>2</v>
      </c>
      <c r="B180" s="317" t="s">
        <v>251</v>
      </c>
      <c r="C180" s="317"/>
      <c r="D180" s="143">
        <f>D145</f>
        <v>305122.77476628951</v>
      </c>
      <c r="E180" s="143">
        <f t="shared" ref="E180:H180" si="83">E145</f>
        <v>314276.45800927823</v>
      </c>
      <c r="F180" s="143">
        <f t="shared" si="83"/>
        <v>323704.75174955657</v>
      </c>
      <c r="G180" s="143">
        <f t="shared" si="83"/>
        <v>333415.89430204325</v>
      </c>
      <c r="H180" s="143">
        <f t="shared" si="83"/>
        <v>343418.37113110453</v>
      </c>
    </row>
    <row r="181" spans="1:13">
      <c r="A181" s="176">
        <v>3</v>
      </c>
      <c r="B181" s="317" t="s">
        <v>267</v>
      </c>
      <c r="C181" s="317"/>
      <c r="D181" s="143">
        <f>$D$148*SUM(D107:D111)</f>
        <v>61512279.837154359</v>
      </c>
      <c r="E181" s="143">
        <f t="shared" ref="E181:H181" si="84">$D$148*SUM(E107:E111)</f>
        <v>64308012.955753021</v>
      </c>
      <c r="F181" s="143">
        <f t="shared" si="84"/>
        <v>67230812.144592002</v>
      </c>
      <c r="G181" s="143">
        <f t="shared" si="84"/>
        <v>70286452.556563705</v>
      </c>
      <c r="H181" s="143">
        <f t="shared" si="84"/>
        <v>73480971.825259522</v>
      </c>
    </row>
    <row r="182" spans="1:13">
      <c r="A182" s="176">
        <v>4</v>
      </c>
      <c r="B182" s="317" t="s">
        <v>490</v>
      </c>
      <c r="C182" s="317"/>
      <c r="D182" s="143">
        <f>$D$149*D111</f>
        <v>2800917.4561015312</v>
      </c>
      <c r="E182" s="143">
        <f t="shared" ref="E182:H182" si="85">$D$149*E111</f>
        <v>2928219.1544813458</v>
      </c>
      <c r="F182" s="143">
        <f t="shared" si="85"/>
        <v>3061306.7150525227</v>
      </c>
      <c r="G182" s="143">
        <f t="shared" si="85"/>
        <v>3200443.1052516596</v>
      </c>
      <c r="H182" s="143">
        <f t="shared" si="85"/>
        <v>3345903.2443853477</v>
      </c>
    </row>
    <row r="183" spans="1:13">
      <c r="A183" s="176">
        <v>5</v>
      </c>
      <c r="B183" s="317" t="s">
        <v>252</v>
      </c>
      <c r="C183" s="317"/>
      <c r="D183" s="143">
        <f>$D$150*D112</f>
        <v>367620.41611332598</v>
      </c>
      <c r="E183" s="143">
        <f t="shared" ref="E183:H183" si="86">$D$150*E112</f>
        <v>384328.76402567653</v>
      </c>
      <c r="F183" s="143">
        <f t="shared" si="86"/>
        <v>401796.50635064358</v>
      </c>
      <c r="G183" s="143">
        <f t="shared" si="86"/>
        <v>420058.15756428026</v>
      </c>
      <c r="H183" s="143">
        <f t="shared" si="86"/>
        <v>439149.80082557688</v>
      </c>
    </row>
    <row r="184" spans="1:13">
      <c r="A184" s="176">
        <v>6</v>
      </c>
      <c r="B184" s="317" t="s">
        <v>258</v>
      </c>
      <c r="C184" s="317"/>
      <c r="D184" s="143">
        <f>$D$151*D112</f>
        <v>367620.41611332598</v>
      </c>
      <c r="E184" s="143">
        <f t="shared" ref="E184:H184" si="87">$D$151*E112</f>
        <v>384328.76402567653</v>
      </c>
      <c r="F184" s="143">
        <f t="shared" si="87"/>
        <v>401796.50635064358</v>
      </c>
      <c r="G184" s="143">
        <f t="shared" si="87"/>
        <v>420058.15756428026</v>
      </c>
      <c r="H184" s="143">
        <f t="shared" si="87"/>
        <v>439149.80082557688</v>
      </c>
    </row>
    <row r="185" spans="1:13">
      <c r="A185" s="176"/>
      <c r="B185" s="316" t="s">
        <v>259</v>
      </c>
      <c r="C185" s="316"/>
      <c r="D185" s="167">
        <f>SUM(D179:D184)</f>
        <v>67044745.272015467</v>
      </c>
      <c r="E185" s="28">
        <f>SUM(E179:E184)</f>
        <v>70061085.999214634</v>
      </c>
      <c r="F185" s="28">
        <f>SUM(F179:F184)</f>
        <v>73213594.124102592</v>
      </c>
      <c r="G185" s="28">
        <f>SUM(G179:G184)</f>
        <v>76508430.696253419</v>
      </c>
      <c r="H185" s="28">
        <f>SUM(H179:H184)</f>
        <v>79952035.952184811</v>
      </c>
    </row>
    <row r="186" spans="1:13">
      <c r="A186" s="222"/>
      <c r="B186" s="220"/>
      <c r="C186" s="220"/>
      <c r="D186" s="222"/>
    </row>
    <row r="187" spans="1:13">
      <c r="A187" s="84" t="s">
        <v>98</v>
      </c>
    </row>
    <row r="188" spans="1:13" ht="66.75" customHeight="1">
      <c r="A188" s="318" t="s">
        <v>504</v>
      </c>
      <c r="B188" s="318"/>
      <c r="C188" s="318"/>
      <c r="D188" s="318"/>
      <c r="E188" s="318"/>
      <c r="F188" s="318"/>
      <c r="G188" s="318"/>
      <c r="H188" s="318"/>
    </row>
    <row r="189" spans="1:13" ht="18" customHeight="1">
      <c r="A189" s="342" t="s">
        <v>426</v>
      </c>
      <c r="B189" s="342"/>
      <c r="C189" s="342"/>
      <c r="D189" s="342"/>
      <c r="E189" s="342"/>
      <c r="F189" s="342"/>
      <c r="G189" s="342"/>
      <c r="H189" s="342"/>
    </row>
    <row r="190" spans="1:13" ht="18" customHeight="1">
      <c r="A190" s="84" t="s">
        <v>99</v>
      </c>
    </row>
    <row r="191" spans="1:13" ht="18" customHeight="1">
      <c r="G191" s="29" t="s">
        <v>60</v>
      </c>
      <c r="H191" s="30" t="s">
        <v>61</v>
      </c>
    </row>
    <row r="192" spans="1:13" ht="50.1" customHeight="1">
      <c r="A192" s="174" t="s">
        <v>1</v>
      </c>
      <c r="B192" s="174" t="s">
        <v>100</v>
      </c>
      <c r="C192" s="174" t="s">
        <v>106</v>
      </c>
      <c r="D192" s="174" t="s">
        <v>95</v>
      </c>
      <c r="E192" s="174" t="s">
        <v>101</v>
      </c>
      <c r="F192" s="172" t="s">
        <v>33</v>
      </c>
      <c r="G192" s="172" t="s">
        <v>34</v>
      </c>
      <c r="H192" s="172" t="s">
        <v>35</v>
      </c>
    </row>
    <row r="193" spans="1:17" ht="17.100000000000001" customHeight="1">
      <c r="A193" s="170" t="s">
        <v>38</v>
      </c>
      <c r="B193" s="170" t="s">
        <v>39</v>
      </c>
      <c r="C193" s="170" t="s">
        <v>40</v>
      </c>
      <c r="D193" s="170" t="s">
        <v>105</v>
      </c>
      <c r="E193" s="170" t="s">
        <v>425</v>
      </c>
      <c r="F193" s="83">
        <v>1</v>
      </c>
      <c r="G193" s="83">
        <v>2</v>
      </c>
      <c r="H193" s="83">
        <v>3</v>
      </c>
      <c r="Q193" s="1" t="s">
        <v>498</v>
      </c>
    </row>
    <row r="194" spans="1:17" ht="17.100000000000001" customHeight="1">
      <c r="A194" s="176">
        <v>1</v>
      </c>
      <c r="B194" s="171" t="s">
        <v>174</v>
      </c>
      <c r="C194" s="175">
        <v>10</v>
      </c>
      <c r="D194" s="241">
        <f>Q194/1000</f>
        <v>1238636.3636363635</v>
      </c>
      <c r="E194" s="253">
        <f>1/C194</f>
        <v>0.1</v>
      </c>
      <c r="F194" s="47">
        <f>E194*D194</f>
        <v>123863.63636363635</v>
      </c>
      <c r="G194" s="48">
        <f>F194</f>
        <v>123863.63636363635</v>
      </c>
      <c r="H194" s="48">
        <f>G194</f>
        <v>123863.63636363635</v>
      </c>
      <c r="J194" s="1">
        <f>100/15</f>
        <v>6.666666666666667</v>
      </c>
      <c r="P194" s="237" t="s">
        <v>457</v>
      </c>
      <c r="Q194" s="169">
        <f>1362500000/1.1</f>
        <v>1238636363.6363635</v>
      </c>
    </row>
    <row r="195" spans="1:17" ht="17.100000000000001" customHeight="1">
      <c r="A195" s="176">
        <v>2</v>
      </c>
      <c r="B195" s="171" t="s">
        <v>173</v>
      </c>
      <c r="C195" s="175">
        <v>6</v>
      </c>
      <c r="D195" s="241">
        <v>1748000</v>
      </c>
      <c r="E195" s="110">
        <f t="shared" ref="E195:E197" si="88">1/C195</f>
        <v>0.16666666666666666</v>
      </c>
      <c r="F195" s="47">
        <f t="shared" ref="F195:F197" si="89">E195*D195</f>
        <v>291333.33333333331</v>
      </c>
      <c r="G195" s="48">
        <f t="shared" ref="G195:H195" si="90">F195</f>
        <v>291333.33333333331</v>
      </c>
      <c r="H195" s="48">
        <f t="shared" si="90"/>
        <v>291333.33333333331</v>
      </c>
      <c r="P195" s="237" t="s">
        <v>458</v>
      </c>
      <c r="Q195" s="169">
        <f>1022500000/1.1</f>
        <v>929545454.5454545</v>
      </c>
    </row>
    <row r="196" spans="1:17" ht="17.100000000000001" customHeight="1">
      <c r="A196" s="176">
        <v>3</v>
      </c>
      <c r="B196" s="171" t="s">
        <v>435</v>
      </c>
      <c r="C196" s="175">
        <v>10</v>
      </c>
      <c r="D196" s="153">
        <f>Q198/1000</f>
        <v>1363636.3636363635</v>
      </c>
      <c r="E196" s="253">
        <f t="shared" si="88"/>
        <v>0.1</v>
      </c>
      <c r="F196" s="47">
        <f t="shared" si="89"/>
        <v>136363.63636363635</v>
      </c>
      <c r="G196" s="48">
        <f t="shared" ref="G196:H196" si="91">F196</f>
        <v>136363.63636363635</v>
      </c>
      <c r="H196" s="48">
        <f t="shared" si="91"/>
        <v>136363.63636363635</v>
      </c>
      <c r="P196" s="260" t="s">
        <v>430</v>
      </c>
      <c r="Q196" s="261">
        <f>125000000/1.1</f>
        <v>113636363.63636363</v>
      </c>
    </row>
    <row r="197" spans="1:17" ht="17.100000000000001" customHeight="1">
      <c r="A197" s="176">
        <v>4</v>
      </c>
      <c r="B197" s="171" t="s">
        <v>434</v>
      </c>
      <c r="C197" s="175">
        <v>6</v>
      </c>
      <c r="D197" s="153">
        <f>(Q196+Q197)/1000</f>
        <v>259090.90909090906</v>
      </c>
      <c r="E197" s="110">
        <f t="shared" si="88"/>
        <v>0.16666666666666666</v>
      </c>
      <c r="F197" s="47">
        <f t="shared" si="89"/>
        <v>43181.818181818177</v>
      </c>
      <c r="G197" s="48">
        <f t="shared" ref="G197:H197" si="92">F197</f>
        <v>43181.818181818177</v>
      </c>
      <c r="H197" s="48">
        <f t="shared" si="92"/>
        <v>43181.818181818177</v>
      </c>
      <c r="P197" s="260" t="s">
        <v>431</v>
      </c>
      <c r="Q197" s="261">
        <f>160000000/1.1</f>
        <v>145454545.45454544</v>
      </c>
    </row>
    <row r="198" spans="1:17" ht="17.100000000000001" customHeight="1">
      <c r="A198" s="176"/>
      <c r="B198" s="170" t="s">
        <v>103</v>
      </c>
      <c r="C198" s="242"/>
      <c r="D198" s="243">
        <f>SUM(D194:D197)</f>
        <v>4609363.6363636358</v>
      </c>
      <c r="E198" s="15"/>
      <c r="F198" s="49">
        <f>SUM(F194:F197)</f>
        <v>594742.42424242408</v>
      </c>
      <c r="G198" s="49">
        <f t="shared" ref="G198:H198" si="93">SUM(G194:G197)</f>
        <v>594742.42424242408</v>
      </c>
      <c r="H198" s="49">
        <f t="shared" si="93"/>
        <v>594742.42424242408</v>
      </c>
      <c r="P198" s="260" t="s">
        <v>459</v>
      </c>
      <c r="Q198" s="261">
        <f>1500000000/1.1</f>
        <v>1363636363.6363635</v>
      </c>
    </row>
    <row r="199" spans="1:17" ht="17.100000000000001" customHeight="1">
      <c r="A199" s="95"/>
      <c r="B199" s="83" t="s">
        <v>104</v>
      </c>
      <c r="C199" s="315"/>
      <c r="D199" s="315"/>
      <c r="E199" s="15"/>
      <c r="F199" s="49">
        <f>D198-F198</f>
        <v>4014621.2121212119</v>
      </c>
      <c r="G199" s="49">
        <f>F199-G198</f>
        <v>3419878.7878787881</v>
      </c>
      <c r="H199" s="49">
        <f>G199-H198</f>
        <v>2825136.3636363642</v>
      </c>
      <c r="P199" s="138"/>
    </row>
    <row r="200" spans="1:17" ht="20.100000000000001" customHeight="1"/>
    <row r="201" spans="1:17" ht="50.1" customHeight="1">
      <c r="A201" s="174" t="s">
        <v>1</v>
      </c>
      <c r="B201" s="174" t="s">
        <v>100</v>
      </c>
      <c r="C201" s="174" t="s">
        <v>106</v>
      </c>
      <c r="D201" s="174" t="s">
        <v>95</v>
      </c>
      <c r="E201" s="174" t="s">
        <v>101</v>
      </c>
      <c r="F201" s="172" t="s">
        <v>36</v>
      </c>
      <c r="G201" s="172" t="s">
        <v>37</v>
      </c>
      <c r="H201" s="172" t="s">
        <v>50</v>
      </c>
    </row>
    <row r="202" spans="1:17" ht="17.100000000000001" customHeight="1">
      <c r="A202" s="170" t="s">
        <v>38</v>
      </c>
      <c r="B202" s="170" t="s">
        <v>39</v>
      </c>
      <c r="C202" s="170" t="s">
        <v>40</v>
      </c>
      <c r="D202" s="170" t="s">
        <v>105</v>
      </c>
      <c r="E202" s="170" t="s">
        <v>425</v>
      </c>
      <c r="F202" s="83">
        <v>4</v>
      </c>
      <c r="G202" s="83">
        <v>5</v>
      </c>
      <c r="H202" s="83">
        <v>6</v>
      </c>
    </row>
    <row r="203" spans="1:17" ht="17.100000000000001" customHeight="1">
      <c r="A203" s="176">
        <v>1</v>
      </c>
      <c r="B203" s="171" t="s">
        <v>174</v>
      </c>
      <c r="C203" s="175">
        <f>C194</f>
        <v>10</v>
      </c>
      <c r="D203" s="241">
        <f>D194</f>
        <v>1238636.3636363635</v>
      </c>
      <c r="E203" s="253">
        <f>1/C203</f>
        <v>0.1</v>
      </c>
      <c r="F203" s="47">
        <f>E203*D203</f>
        <v>123863.63636363635</v>
      </c>
      <c r="G203" s="48">
        <f>F203</f>
        <v>123863.63636363635</v>
      </c>
      <c r="H203" s="48">
        <f>G203</f>
        <v>123863.63636363635</v>
      </c>
    </row>
    <row r="204" spans="1:17" ht="17.100000000000001" customHeight="1">
      <c r="A204" s="176">
        <v>2</v>
      </c>
      <c r="B204" s="171" t="s">
        <v>173</v>
      </c>
      <c r="C204" s="225">
        <f t="shared" ref="C204:C206" si="94">C195</f>
        <v>6</v>
      </c>
      <c r="D204" s="241">
        <f t="shared" ref="D204:D206" si="95">D195</f>
        <v>1748000</v>
      </c>
      <c r="E204" s="110">
        <f t="shared" ref="E204:E206" si="96">1/C204</f>
        <v>0.16666666666666666</v>
      </c>
      <c r="F204" s="47">
        <f t="shared" ref="F204:F206" si="97">E204*D204</f>
        <v>291333.33333333331</v>
      </c>
      <c r="G204" s="48">
        <f t="shared" ref="G204:H204" si="98">F204</f>
        <v>291333.33333333331</v>
      </c>
      <c r="H204" s="48">
        <f t="shared" si="98"/>
        <v>291333.33333333331</v>
      </c>
    </row>
    <row r="205" spans="1:17" ht="17.100000000000001" customHeight="1">
      <c r="A205" s="176">
        <v>3</v>
      </c>
      <c r="B205" s="171" t="s">
        <v>435</v>
      </c>
      <c r="C205" s="225">
        <f t="shared" si="94"/>
        <v>10</v>
      </c>
      <c r="D205" s="241">
        <f t="shared" si="95"/>
        <v>1363636.3636363635</v>
      </c>
      <c r="E205" s="253">
        <f t="shared" si="96"/>
        <v>0.1</v>
      </c>
      <c r="F205" s="47">
        <f t="shared" si="97"/>
        <v>136363.63636363635</v>
      </c>
      <c r="G205" s="48">
        <f t="shared" ref="G205:H205" si="99">F205</f>
        <v>136363.63636363635</v>
      </c>
      <c r="H205" s="48">
        <f t="shared" si="99"/>
        <v>136363.63636363635</v>
      </c>
    </row>
    <row r="206" spans="1:17" ht="17.100000000000001" customHeight="1">
      <c r="A206" s="176">
        <v>4</v>
      </c>
      <c r="B206" s="171" t="s">
        <v>434</v>
      </c>
      <c r="C206" s="225">
        <f t="shared" si="94"/>
        <v>6</v>
      </c>
      <c r="D206" s="241">
        <f t="shared" si="95"/>
        <v>259090.90909090906</v>
      </c>
      <c r="E206" s="110">
        <f t="shared" si="96"/>
        <v>0.16666666666666666</v>
      </c>
      <c r="F206" s="47">
        <f t="shared" si="97"/>
        <v>43181.818181818177</v>
      </c>
      <c r="G206" s="48">
        <f t="shared" ref="G206:H206" si="100">F206</f>
        <v>43181.818181818177</v>
      </c>
      <c r="H206" s="48">
        <f t="shared" si="100"/>
        <v>43181.818181818177</v>
      </c>
    </row>
    <row r="207" spans="1:17" ht="17.100000000000001" customHeight="1">
      <c r="A207" s="176"/>
      <c r="B207" s="170" t="s">
        <v>103</v>
      </c>
      <c r="C207" s="242"/>
      <c r="D207" s="243">
        <f>SUM(D203:D206)</f>
        <v>4609363.6363636358</v>
      </c>
      <c r="E207" s="15"/>
      <c r="F207" s="49">
        <f>SUM(F203:F206)</f>
        <v>594742.42424242408</v>
      </c>
      <c r="G207" s="49">
        <f t="shared" ref="G207" si="101">SUM(G203:G206)</f>
        <v>594742.42424242408</v>
      </c>
      <c r="H207" s="49">
        <f t="shared" ref="H207" si="102">SUM(H203:H206)</f>
        <v>594742.42424242408</v>
      </c>
    </row>
    <row r="208" spans="1:17" ht="17.100000000000001" customHeight="1">
      <c r="A208" s="95"/>
      <c r="B208" s="83" t="s">
        <v>104</v>
      </c>
      <c r="C208" s="315"/>
      <c r="D208" s="315"/>
      <c r="E208" s="15"/>
      <c r="F208" s="49">
        <f>H199-F207</f>
        <v>2230393.9393939404</v>
      </c>
      <c r="G208" s="49">
        <f>F208-G207</f>
        <v>1635651.5151515163</v>
      </c>
      <c r="H208" s="49">
        <f>G208-H207</f>
        <v>1040909.0909090922</v>
      </c>
    </row>
    <row r="209" spans="1:8" ht="20.100000000000001" customHeight="1"/>
    <row r="210" spans="1:8" ht="50.1" customHeight="1">
      <c r="A210" s="174" t="s">
        <v>1</v>
      </c>
      <c r="B210" s="174" t="s">
        <v>100</v>
      </c>
      <c r="C210" s="174" t="s">
        <v>106</v>
      </c>
      <c r="D210" s="174" t="s">
        <v>95</v>
      </c>
      <c r="E210" s="174" t="s">
        <v>101</v>
      </c>
      <c r="F210" s="172" t="s">
        <v>51</v>
      </c>
      <c r="G210" s="172" t="s">
        <v>52</v>
      </c>
      <c r="H210" s="172" t="s">
        <v>53</v>
      </c>
    </row>
    <row r="211" spans="1:8" ht="17.100000000000001" customHeight="1">
      <c r="A211" s="170" t="s">
        <v>38</v>
      </c>
      <c r="B211" s="170" t="s">
        <v>39</v>
      </c>
      <c r="C211" s="170" t="s">
        <v>40</v>
      </c>
      <c r="D211" s="170" t="s">
        <v>105</v>
      </c>
      <c r="E211" s="170" t="s">
        <v>425</v>
      </c>
      <c r="F211" s="83">
        <v>7</v>
      </c>
      <c r="G211" s="83">
        <v>8</v>
      </c>
      <c r="H211" s="83">
        <v>9</v>
      </c>
    </row>
    <row r="212" spans="1:8" ht="17.100000000000001" customHeight="1">
      <c r="A212" s="176">
        <v>1</v>
      </c>
      <c r="B212" s="171" t="s">
        <v>174</v>
      </c>
      <c r="C212" s="175">
        <f>C203</f>
        <v>10</v>
      </c>
      <c r="D212" s="241">
        <f>D203</f>
        <v>1238636.3636363635</v>
      </c>
      <c r="E212" s="253">
        <f>1/C212</f>
        <v>0.1</v>
      </c>
      <c r="F212" s="47">
        <f>E212*D212</f>
        <v>123863.63636363635</v>
      </c>
      <c r="G212" s="48">
        <f>F212</f>
        <v>123863.63636363635</v>
      </c>
      <c r="H212" s="48">
        <f>G212</f>
        <v>123863.63636363635</v>
      </c>
    </row>
    <row r="213" spans="1:8" ht="17.100000000000001" customHeight="1">
      <c r="A213" s="176">
        <v>2</v>
      </c>
      <c r="B213" s="171" t="s">
        <v>173</v>
      </c>
      <c r="C213" s="225">
        <f t="shared" ref="C213:C215" si="103">C204</f>
        <v>6</v>
      </c>
      <c r="D213" s="241">
        <f t="shared" ref="D213:D215" si="104">D204</f>
        <v>1748000</v>
      </c>
      <c r="E213" s="110">
        <f t="shared" ref="E213:E215" si="105">1/C213</f>
        <v>0.16666666666666666</v>
      </c>
      <c r="F213" s="47">
        <v>0</v>
      </c>
      <c r="G213" s="48">
        <f t="shared" ref="G213" si="106">F213</f>
        <v>0</v>
      </c>
      <c r="H213" s="48">
        <v>0</v>
      </c>
    </row>
    <row r="214" spans="1:8" ht="17.100000000000001" customHeight="1">
      <c r="A214" s="176">
        <v>3</v>
      </c>
      <c r="B214" s="171" t="s">
        <v>435</v>
      </c>
      <c r="C214" s="225">
        <f t="shared" si="103"/>
        <v>10</v>
      </c>
      <c r="D214" s="241">
        <f t="shared" si="104"/>
        <v>1363636.3636363635</v>
      </c>
      <c r="E214" s="253">
        <f t="shared" si="105"/>
        <v>0.1</v>
      </c>
      <c r="F214" s="47">
        <f t="shared" ref="F214" si="107">E214*D214</f>
        <v>136363.63636363635</v>
      </c>
      <c r="G214" s="48">
        <f t="shared" ref="G214:H214" si="108">F214</f>
        <v>136363.63636363635</v>
      </c>
      <c r="H214" s="48">
        <f t="shared" si="108"/>
        <v>136363.63636363635</v>
      </c>
    </row>
    <row r="215" spans="1:8" ht="17.100000000000001" customHeight="1">
      <c r="A215" s="176">
        <v>4</v>
      </c>
      <c r="B215" s="171" t="s">
        <v>434</v>
      </c>
      <c r="C215" s="225">
        <f t="shared" si="103"/>
        <v>6</v>
      </c>
      <c r="D215" s="241">
        <f t="shared" si="104"/>
        <v>259090.90909090906</v>
      </c>
      <c r="E215" s="110">
        <f t="shared" si="105"/>
        <v>0.16666666666666666</v>
      </c>
      <c r="F215" s="47">
        <v>0</v>
      </c>
      <c r="G215" s="48">
        <f t="shared" ref="G215:H215" si="109">F215</f>
        <v>0</v>
      </c>
      <c r="H215" s="48">
        <f t="shared" si="109"/>
        <v>0</v>
      </c>
    </row>
    <row r="216" spans="1:8" ht="17.100000000000001" customHeight="1">
      <c r="A216" s="176"/>
      <c r="B216" s="170" t="s">
        <v>103</v>
      </c>
      <c r="C216" s="242"/>
      <c r="D216" s="243">
        <f>SUM(D212:D215)</f>
        <v>4609363.6363636358</v>
      </c>
      <c r="E216" s="15"/>
      <c r="F216" s="49">
        <f>SUM(F212:F215)</f>
        <v>260227.27272727271</v>
      </c>
      <c r="G216" s="49">
        <f t="shared" ref="G216" si="110">SUM(G212:G215)</f>
        <v>260227.27272727271</v>
      </c>
      <c r="H216" s="49">
        <f t="shared" ref="H216" si="111">SUM(H212:H215)</f>
        <v>260227.27272727271</v>
      </c>
    </row>
    <row r="217" spans="1:8" ht="17.100000000000001" customHeight="1">
      <c r="A217" s="95"/>
      <c r="B217" s="83" t="s">
        <v>104</v>
      </c>
      <c r="C217" s="315"/>
      <c r="D217" s="315"/>
      <c r="E217" s="15"/>
      <c r="F217" s="49">
        <f>H208-F216</f>
        <v>780681.81818181952</v>
      </c>
      <c r="G217" s="49">
        <f>F217-G216</f>
        <v>520454.54545454681</v>
      </c>
      <c r="H217" s="49">
        <f>G217-H216</f>
        <v>260227.2727272741</v>
      </c>
    </row>
    <row r="218" spans="1:8" ht="20.100000000000001" customHeight="1"/>
    <row r="219" spans="1:8" ht="50.1" customHeight="1">
      <c r="A219" s="174" t="s">
        <v>1</v>
      </c>
      <c r="B219" s="174" t="s">
        <v>100</v>
      </c>
      <c r="C219" s="174" t="s">
        <v>106</v>
      </c>
      <c r="D219" s="174" t="s">
        <v>95</v>
      </c>
      <c r="E219" s="174" t="s">
        <v>101</v>
      </c>
      <c r="F219" s="172" t="s">
        <v>54</v>
      </c>
      <c r="G219" s="375"/>
      <c r="H219" s="376"/>
    </row>
    <row r="220" spans="1:8" ht="17.100000000000001" customHeight="1">
      <c r="A220" s="170" t="s">
        <v>38</v>
      </c>
      <c r="B220" s="170" t="s">
        <v>39</v>
      </c>
      <c r="C220" s="170" t="s">
        <v>40</v>
      </c>
      <c r="D220" s="170" t="s">
        <v>105</v>
      </c>
      <c r="E220" s="170" t="s">
        <v>425</v>
      </c>
      <c r="F220" s="83">
        <v>10</v>
      </c>
      <c r="G220" s="53"/>
      <c r="H220" s="290"/>
    </row>
    <row r="221" spans="1:8" ht="17.100000000000001" customHeight="1">
      <c r="A221" s="176">
        <v>1</v>
      </c>
      <c r="B221" s="171" t="s">
        <v>174</v>
      </c>
      <c r="C221" s="175">
        <f>C212</f>
        <v>10</v>
      </c>
      <c r="D221" s="241">
        <f>D212</f>
        <v>1238636.3636363635</v>
      </c>
      <c r="E221" s="253">
        <f>1/C221</f>
        <v>0.1</v>
      </c>
      <c r="F221" s="47">
        <f>E221*D221</f>
        <v>123863.63636363635</v>
      </c>
      <c r="G221" s="54"/>
      <c r="H221" s="51"/>
    </row>
    <row r="222" spans="1:8" ht="17.100000000000001" customHeight="1">
      <c r="A222" s="176">
        <v>2</v>
      </c>
      <c r="B222" s="171" t="s">
        <v>173</v>
      </c>
      <c r="C222" s="225">
        <f t="shared" ref="C222:C224" si="112">C213</f>
        <v>6</v>
      </c>
      <c r="D222" s="241">
        <f t="shared" ref="D222:D224" si="113">D213</f>
        <v>1748000</v>
      </c>
      <c r="E222" s="110">
        <f t="shared" ref="E222:E224" si="114">1/C222</f>
        <v>0.16666666666666666</v>
      </c>
      <c r="F222" s="47">
        <v>0</v>
      </c>
      <c r="G222" s="54"/>
      <c r="H222" s="51"/>
    </row>
    <row r="223" spans="1:8" ht="17.100000000000001" customHeight="1">
      <c r="A223" s="176">
        <v>3</v>
      </c>
      <c r="B223" s="171" t="s">
        <v>435</v>
      </c>
      <c r="C223" s="225">
        <f t="shared" si="112"/>
        <v>10</v>
      </c>
      <c r="D223" s="241">
        <f t="shared" si="113"/>
        <v>1363636.3636363635</v>
      </c>
      <c r="E223" s="253">
        <f t="shared" si="114"/>
        <v>0.1</v>
      </c>
      <c r="F223" s="47">
        <f t="shared" ref="F223" si="115">E223*D223</f>
        <v>136363.63636363635</v>
      </c>
      <c r="G223" s="54"/>
      <c r="H223" s="51"/>
    </row>
    <row r="224" spans="1:8" ht="17.100000000000001" customHeight="1">
      <c r="A224" s="176">
        <v>4</v>
      </c>
      <c r="B224" s="171" t="s">
        <v>434</v>
      </c>
      <c r="C224" s="225">
        <f t="shared" si="112"/>
        <v>6</v>
      </c>
      <c r="D224" s="241">
        <f t="shared" si="113"/>
        <v>259090.90909090906</v>
      </c>
      <c r="E224" s="110">
        <f t="shared" si="114"/>
        <v>0.16666666666666666</v>
      </c>
      <c r="F224" s="47">
        <v>0</v>
      </c>
      <c r="G224" s="54"/>
      <c r="H224" s="51"/>
    </row>
    <row r="225" spans="1:8" ht="17.100000000000001" customHeight="1">
      <c r="A225" s="176"/>
      <c r="B225" s="170" t="s">
        <v>103</v>
      </c>
      <c r="C225" s="242"/>
      <c r="D225" s="243">
        <f>SUM(D221:D224)</f>
        <v>4609363.6363636358</v>
      </c>
      <c r="E225" s="15"/>
      <c r="F225" s="49">
        <f>SUM(F221:F224)</f>
        <v>260227.27272727271</v>
      </c>
      <c r="G225" s="55"/>
      <c r="H225" s="52"/>
    </row>
    <row r="226" spans="1:8" ht="17.100000000000001" customHeight="1">
      <c r="A226" s="95"/>
      <c r="B226" s="83" t="s">
        <v>104</v>
      </c>
      <c r="C226" s="315"/>
      <c r="D226" s="315"/>
      <c r="E226" s="15"/>
      <c r="F226" s="49">
        <f>H217-F225</f>
        <v>1.3969838619232178E-9</v>
      </c>
      <c r="G226" s="55"/>
      <c r="H226" s="52"/>
    </row>
    <row r="227" spans="1:8" ht="20.100000000000001" customHeight="1"/>
    <row r="228" spans="1:8" ht="50.1" hidden="1" customHeight="1">
      <c r="A228" s="174" t="s">
        <v>1</v>
      </c>
      <c r="B228" s="174" t="s">
        <v>100</v>
      </c>
      <c r="C228" s="174" t="s">
        <v>106</v>
      </c>
      <c r="D228" s="174" t="s">
        <v>95</v>
      </c>
      <c r="E228" s="174" t="s">
        <v>101</v>
      </c>
      <c r="F228" s="172" t="s">
        <v>57</v>
      </c>
      <c r="G228" s="172" t="s">
        <v>58</v>
      </c>
      <c r="H228" s="172" t="s">
        <v>59</v>
      </c>
    </row>
    <row r="229" spans="1:8" ht="17.100000000000001" hidden="1" customHeight="1">
      <c r="A229" s="170" t="s">
        <v>38</v>
      </c>
      <c r="B229" s="170" t="s">
        <v>39</v>
      </c>
      <c r="C229" s="170" t="s">
        <v>40</v>
      </c>
      <c r="D229" s="170" t="s">
        <v>105</v>
      </c>
      <c r="E229" s="170" t="s">
        <v>425</v>
      </c>
      <c r="F229" s="83">
        <v>13</v>
      </c>
      <c r="G229" s="83">
        <v>14</v>
      </c>
      <c r="H229" s="83">
        <v>15</v>
      </c>
    </row>
    <row r="230" spans="1:8" ht="17.100000000000001" hidden="1" customHeight="1">
      <c r="A230" s="176">
        <v>1</v>
      </c>
      <c r="B230" s="171" t="s">
        <v>174</v>
      </c>
      <c r="C230" s="175">
        <f>C221</f>
        <v>10</v>
      </c>
      <c r="D230" s="241">
        <f>D221</f>
        <v>1238636.3636363635</v>
      </c>
      <c r="E230" s="253">
        <f>1/C230</f>
        <v>0.1</v>
      </c>
      <c r="F230" s="47">
        <v>0</v>
      </c>
      <c r="G230" s="48">
        <f>F230</f>
        <v>0</v>
      </c>
      <c r="H230" s="48">
        <f>G230</f>
        <v>0</v>
      </c>
    </row>
    <row r="231" spans="1:8" ht="17.100000000000001" hidden="1" customHeight="1">
      <c r="A231" s="176">
        <v>2</v>
      </c>
      <c r="B231" s="171" t="s">
        <v>173</v>
      </c>
      <c r="C231" s="225">
        <f t="shared" ref="C231:C233" si="116">C222</f>
        <v>6</v>
      </c>
      <c r="D231" s="241">
        <f t="shared" ref="D231:D233" si="117">D222</f>
        <v>1748000</v>
      </c>
      <c r="E231" s="110">
        <f t="shared" ref="E231:E233" si="118">1/C231</f>
        <v>0.16666666666666666</v>
      </c>
      <c r="F231" s="47">
        <v>0</v>
      </c>
      <c r="G231" s="48">
        <f t="shared" ref="G231:H231" si="119">F231</f>
        <v>0</v>
      </c>
      <c r="H231" s="48">
        <f t="shared" si="119"/>
        <v>0</v>
      </c>
    </row>
    <row r="232" spans="1:8" ht="17.100000000000001" hidden="1" customHeight="1">
      <c r="A232" s="176">
        <v>3</v>
      </c>
      <c r="B232" s="171" t="s">
        <v>435</v>
      </c>
      <c r="C232" s="225">
        <f t="shared" si="116"/>
        <v>10</v>
      </c>
      <c r="D232" s="241">
        <f t="shared" si="117"/>
        <v>1363636.3636363635</v>
      </c>
      <c r="E232" s="253">
        <f t="shared" si="118"/>
        <v>0.1</v>
      </c>
      <c r="F232" s="47">
        <v>0</v>
      </c>
      <c r="G232" s="48">
        <f t="shared" ref="G232:H232" si="120">F232</f>
        <v>0</v>
      </c>
      <c r="H232" s="48">
        <f t="shared" si="120"/>
        <v>0</v>
      </c>
    </row>
    <row r="233" spans="1:8" ht="17.100000000000001" hidden="1" customHeight="1">
      <c r="A233" s="176">
        <v>4</v>
      </c>
      <c r="B233" s="171" t="s">
        <v>434</v>
      </c>
      <c r="C233" s="225">
        <f t="shared" si="116"/>
        <v>6</v>
      </c>
      <c r="D233" s="241">
        <f t="shared" si="117"/>
        <v>259090.90909090906</v>
      </c>
      <c r="E233" s="110">
        <f t="shared" si="118"/>
        <v>0.16666666666666666</v>
      </c>
      <c r="F233" s="47">
        <v>0</v>
      </c>
      <c r="G233" s="48">
        <f t="shared" ref="G233:H233" si="121">F233</f>
        <v>0</v>
      </c>
      <c r="H233" s="48">
        <f t="shared" si="121"/>
        <v>0</v>
      </c>
    </row>
    <row r="234" spans="1:8" ht="17.100000000000001" hidden="1" customHeight="1">
      <c r="A234" s="176"/>
      <c r="B234" s="170" t="s">
        <v>103</v>
      </c>
      <c r="C234" s="242"/>
      <c r="D234" s="243">
        <f>SUM(D230:D233)</f>
        <v>4609363.6363636358</v>
      </c>
      <c r="E234" s="15"/>
      <c r="F234" s="49">
        <f>SUM(F230:F233)</f>
        <v>0</v>
      </c>
      <c r="G234" s="49">
        <f t="shared" ref="G234" si="122">SUM(G230:G233)</f>
        <v>0</v>
      </c>
      <c r="H234" s="49">
        <f t="shared" ref="H234" si="123">SUM(H230:H233)</f>
        <v>0</v>
      </c>
    </row>
    <row r="235" spans="1:8" ht="17.100000000000001" hidden="1" customHeight="1">
      <c r="A235" s="95"/>
      <c r="B235" s="83" t="s">
        <v>104</v>
      </c>
      <c r="C235" s="315"/>
      <c r="D235" s="315"/>
      <c r="E235" s="15"/>
      <c r="F235" s="49">
        <f>H226-F234</f>
        <v>0</v>
      </c>
      <c r="G235" s="49">
        <f>F235-G234</f>
        <v>0</v>
      </c>
      <c r="H235" s="49">
        <f>G235-H234</f>
        <v>0</v>
      </c>
    </row>
    <row r="236" spans="1:8" ht="17.100000000000001" customHeight="1">
      <c r="A236" s="120" t="s">
        <v>355</v>
      </c>
      <c r="B236" s="119"/>
      <c r="C236" s="119"/>
      <c r="D236" s="119"/>
    </row>
    <row r="237" spans="1:8" ht="17.100000000000001" customHeight="1">
      <c r="A237" s="308" t="s">
        <v>362</v>
      </c>
      <c r="B237" s="308"/>
      <c r="C237" s="308"/>
      <c r="D237" s="119"/>
      <c r="E237" s="215">
        <v>3582</v>
      </c>
      <c r="F237" s="1" t="s">
        <v>357</v>
      </c>
    </row>
    <row r="238" spans="1:8" ht="17.100000000000001" customHeight="1">
      <c r="A238" s="308" t="s">
        <v>358</v>
      </c>
      <c r="B238" s="308"/>
      <c r="C238" s="308"/>
      <c r="D238" s="119"/>
      <c r="E238" s="214">
        <v>11040</v>
      </c>
      <c r="F238" s="1" t="s">
        <v>359</v>
      </c>
    </row>
    <row r="239" spans="1:8" ht="17.100000000000001" customHeight="1">
      <c r="A239" s="308" t="s">
        <v>360</v>
      </c>
      <c r="B239" s="308"/>
      <c r="C239" s="308"/>
      <c r="D239" s="308"/>
      <c r="E239" s="5">
        <v>0.05</v>
      </c>
      <c r="F239" s="1" t="s">
        <v>72</v>
      </c>
    </row>
    <row r="240" spans="1:8" ht="17.100000000000001" customHeight="1">
      <c r="A240" s="119"/>
      <c r="B240" s="119"/>
      <c r="C240" s="119"/>
      <c r="D240" s="119"/>
    </row>
    <row r="241" spans="1:13">
      <c r="A241" s="314" t="s">
        <v>261</v>
      </c>
      <c r="B241" s="314"/>
      <c r="C241" s="314"/>
      <c r="D241" s="314"/>
      <c r="E241" s="314"/>
      <c r="F241" s="314"/>
      <c r="G241" s="314"/>
      <c r="H241" s="314"/>
    </row>
    <row r="242" spans="1:13">
      <c r="A242" s="89" t="s">
        <v>117</v>
      </c>
      <c r="B242" s="89"/>
      <c r="C242" s="89"/>
      <c r="D242" s="96">
        <v>15</v>
      </c>
      <c r="E242" s="1" t="s">
        <v>118</v>
      </c>
    </row>
    <row r="243" spans="1:13">
      <c r="A243" s="89" t="s">
        <v>119</v>
      </c>
      <c r="B243" s="89"/>
      <c r="C243" s="89"/>
      <c r="D243" s="5">
        <f>C14</f>
        <v>0.2</v>
      </c>
      <c r="E243" s="1" t="s">
        <v>72</v>
      </c>
    </row>
    <row r="244" spans="1:13">
      <c r="A244" s="322" t="s">
        <v>263</v>
      </c>
      <c r="B244" s="322"/>
      <c r="C244" s="322"/>
      <c r="D244" s="322"/>
      <c r="E244" s="322"/>
      <c r="F244" s="322"/>
      <c r="G244" s="322"/>
      <c r="H244" s="322"/>
    </row>
    <row r="245" spans="1:13">
      <c r="A245" s="89"/>
      <c r="B245" s="89"/>
      <c r="C245" s="89"/>
      <c r="G245" s="29" t="s">
        <v>60</v>
      </c>
      <c r="H245" s="30" t="s">
        <v>61</v>
      </c>
    </row>
    <row r="246" spans="1:13" ht="18.95" customHeight="1">
      <c r="A246" s="209" t="s">
        <v>1</v>
      </c>
      <c r="B246" s="311" t="s">
        <v>120</v>
      </c>
      <c r="C246" s="311"/>
      <c r="D246" s="209" t="s">
        <v>33</v>
      </c>
      <c r="E246" s="209" t="s">
        <v>34</v>
      </c>
      <c r="F246" s="209" t="s">
        <v>35</v>
      </c>
      <c r="G246" s="209" t="s">
        <v>36</v>
      </c>
      <c r="H246" s="209" t="s">
        <v>37</v>
      </c>
    </row>
    <row r="247" spans="1:13" ht="18.95" customHeight="1">
      <c r="A247" s="90" t="s">
        <v>41</v>
      </c>
      <c r="B247" s="312" t="s">
        <v>121</v>
      </c>
      <c r="C247" s="312"/>
      <c r="D247" s="58">
        <f>D92</f>
        <v>47140800</v>
      </c>
      <c r="E247" s="58">
        <f t="shared" ref="E247:H247" si="124">E92</f>
        <v>49283349.359999999</v>
      </c>
      <c r="F247" s="58">
        <f t="shared" si="124"/>
        <v>51523277.588411994</v>
      </c>
      <c r="G247" s="58">
        <f t="shared" si="124"/>
        <v>53865010.554805309</v>
      </c>
      <c r="H247" s="58">
        <f t="shared" si="124"/>
        <v>56313175.284521207</v>
      </c>
      <c r="J247" s="112">
        <v>127906739</v>
      </c>
      <c r="K247" s="112">
        <v>138331139</v>
      </c>
      <c r="L247" s="112">
        <v>149605126</v>
      </c>
      <c r="M247" s="112">
        <v>161797944</v>
      </c>
    </row>
    <row r="248" spans="1:13" ht="18.95" customHeight="1">
      <c r="A248" s="59" t="s">
        <v>43</v>
      </c>
      <c r="B248" s="309" t="s">
        <v>122</v>
      </c>
      <c r="C248" s="309"/>
      <c r="D248" s="60">
        <f>SUM(D249:D251)</f>
        <v>45691295.704242423</v>
      </c>
      <c r="E248" s="60">
        <f>SUM(E249:E251)</f>
        <v>47838836.86809095</v>
      </c>
      <c r="F248" s="60">
        <f>SUM(F249:F251)</f>
        <v>49960645.078147858</v>
      </c>
      <c r="G248" s="60">
        <f>SUM(G249:G251)</f>
        <v>52178180.314868651</v>
      </c>
      <c r="H248" s="60">
        <f>SUM(H249:H251)</f>
        <v>54495772.096920714</v>
      </c>
      <c r="J248" s="112">
        <f>J250+J251</f>
        <v>127058219</v>
      </c>
      <c r="K248" s="112">
        <f>K250+K251</f>
        <v>137222932</v>
      </c>
      <c r="L248" s="112">
        <f>L250+L251</f>
        <v>148212784</v>
      </c>
      <c r="M248" s="112">
        <f>M250+M251</f>
        <v>160094897</v>
      </c>
    </row>
    <row r="249" spans="1:13" ht="18.95" customHeight="1">
      <c r="A249" s="61">
        <v>1</v>
      </c>
      <c r="B249" s="310" t="s">
        <v>262</v>
      </c>
      <c r="C249" s="310"/>
      <c r="D249" s="115">
        <f>D163</f>
        <v>45057008</v>
      </c>
      <c r="E249" s="115">
        <f t="shared" ref="E249:H249" si="125">E163</f>
        <v>47204549.163848527</v>
      </c>
      <c r="F249" s="115">
        <f t="shared" si="125"/>
        <v>49326357.373905435</v>
      </c>
      <c r="G249" s="115">
        <f t="shared" si="125"/>
        <v>51543892.610626228</v>
      </c>
      <c r="H249" s="115">
        <f t="shared" si="125"/>
        <v>53861484.392678291</v>
      </c>
      <c r="J249" s="112"/>
      <c r="K249" s="112"/>
      <c r="L249" s="112"/>
      <c r="M249" s="112"/>
    </row>
    <row r="250" spans="1:13" ht="18.95" customHeight="1">
      <c r="A250" s="61">
        <v>2</v>
      </c>
      <c r="B250" s="310" t="s">
        <v>123</v>
      </c>
      <c r="C250" s="310"/>
      <c r="D250" s="63">
        <f>F198</f>
        <v>594742.42424242408</v>
      </c>
      <c r="E250" s="63">
        <f>D250</f>
        <v>594742.42424242408</v>
      </c>
      <c r="F250" s="63">
        <f t="shared" ref="F250:H251" si="126">E250</f>
        <v>594742.42424242408</v>
      </c>
      <c r="G250" s="63">
        <f t="shared" si="126"/>
        <v>594742.42424242408</v>
      </c>
      <c r="H250" s="63">
        <f t="shared" si="126"/>
        <v>594742.42424242408</v>
      </c>
      <c r="J250" s="111">
        <v>125839136</v>
      </c>
      <c r="K250" s="111">
        <v>136003849</v>
      </c>
      <c r="L250" s="111">
        <v>146993701</v>
      </c>
      <c r="M250" s="111">
        <v>158875814</v>
      </c>
    </row>
    <row r="251" spans="1:13" ht="18.95" customHeight="1">
      <c r="A251" s="61">
        <v>3</v>
      </c>
      <c r="B251" s="310" t="s">
        <v>124</v>
      </c>
      <c r="C251" s="310"/>
      <c r="D251" s="63">
        <f>E237*E238/1000</f>
        <v>39545.279999999999</v>
      </c>
      <c r="E251" s="63">
        <f>D251</f>
        <v>39545.279999999999</v>
      </c>
      <c r="F251" s="63">
        <f t="shared" si="126"/>
        <v>39545.279999999999</v>
      </c>
      <c r="G251" s="63">
        <f t="shared" si="126"/>
        <v>39545.279999999999</v>
      </c>
      <c r="H251" s="63">
        <f t="shared" si="126"/>
        <v>39545.279999999999</v>
      </c>
      <c r="J251" s="111">
        <v>1219083</v>
      </c>
      <c r="K251" s="111">
        <f>J251</f>
        <v>1219083</v>
      </c>
      <c r="L251" s="111">
        <f>K251</f>
        <v>1219083</v>
      </c>
      <c r="M251" s="111">
        <f>L251</f>
        <v>1219083</v>
      </c>
    </row>
    <row r="252" spans="1:13" ht="18.95" customHeight="1">
      <c r="A252" s="59" t="s">
        <v>125</v>
      </c>
      <c r="B252" s="309" t="s">
        <v>129</v>
      </c>
      <c r="C252" s="309"/>
      <c r="D252" s="64">
        <f>D247-D248</f>
        <v>1449504.2957575768</v>
      </c>
      <c r="E252" s="64">
        <f t="shared" ref="E252:H252" si="127">E247-E248</f>
        <v>1444512.4919090495</v>
      </c>
      <c r="F252" s="64">
        <f t="shared" si="127"/>
        <v>1562632.5102641359</v>
      </c>
      <c r="G252" s="64">
        <f t="shared" si="127"/>
        <v>1686830.2399366572</v>
      </c>
      <c r="H252" s="64">
        <f t="shared" si="127"/>
        <v>1817403.1876004934</v>
      </c>
      <c r="J252" s="113">
        <f>J250/J247</f>
        <v>0.98383507377199253</v>
      </c>
      <c r="K252" s="113">
        <f>K250/K247</f>
        <v>0.98317594999344293</v>
      </c>
      <c r="L252" s="113">
        <f t="shared" ref="L252:M252" si="128">L250/L247</f>
        <v>0.9825445486406662</v>
      </c>
      <c r="M252" s="113">
        <f t="shared" si="128"/>
        <v>0.98193963453577626</v>
      </c>
    </row>
    <row r="253" spans="1:13" ht="18.95" customHeight="1">
      <c r="A253" s="61"/>
      <c r="B253" s="310" t="s">
        <v>126</v>
      </c>
      <c r="C253" s="310"/>
      <c r="D253" s="65">
        <f>D252*$D$243</f>
        <v>289900.85915151535</v>
      </c>
      <c r="E253" s="65">
        <f t="shared" ref="E253:H253" si="129">E252*$D$243</f>
        <v>288902.49838180991</v>
      </c>
      <c r="F253" s="65">
        <f t="shared" si="129"/>
        <v>312526.50205282721</v>
      </c>
      <c r="G253" s="65">
        <f t="shared" si="129"/>
        <v>337366.04798733146</v>
      </c>
      <c r="H253" s="65">
        <f t="shared" si="129"/>
        <v>363480.63752009871</v>
      </c>
      <c r="I253" s="94" t="s">
        <v>176</v>
      </c>
      <c r="J253" s="114">
        <f>1-J252</f>
        <v>1.616492622800747E-2</v>
      </c>
      <c r="K253" s="114">
        <f t="shared" ref="K253:M253" si="130">1-K252</f>
        <v>1.6824050006557068E-2</v>
      </c>
      <c r="L253" s="114">
        <f t="shared" si="130"/>
        <v>1.7455451359333796E-2</v>
      </c>
      <c r="M253" s="114">
        <f t="shared" si="130"/>
        <v>1.8060365464223738E-2</v>
      </c>
    </row>
    <row r="254" spans="1:13" ht="18.95" customHeight="1">
      <c r="A254" s="59" t="s">
        <v>127</v>
      </c>
      <c r="B254" s="309" t="s">
        <v>128</v>
      </c>
      <c r="C254" s="309"/>
      <c r="D254" s="64">
        <f>D252-D253</f>
        <v>1159603.4366060614</v>
      </c>
      <c r="E254" s="64">
        <f t="shared" ref="E254:H254" si="131">E252-E253</f>
        <v>1155609.9935272397</v>
      </c>
      <c r="F254" s="64">
        <f t="shared" si="131"/>
        <v>1250106.0082113086</v>
      </c>
      <c r="G254" s="64">
        <f t="shared" si="131"/>
        <v>1349464.1919493258</v>
      </c>
      <c r="H254" s="64">
        <f t="shared" si="131"/>
        <v>1453922.5500803948</v>
      </c>
    </row>
    <row r="255" spans="1:13">
      <c r="B255" s="313"/>
      <c r="C255" s="313"/>
      <c r="J255" s="113">
        <f>J248/J247</f>
        <v>0.99336610403303305</v>
      </c>
      <c r="K255" s="113">
        <f t="shared" ref="K255:M255" si="132">K248/K247</f>
        <v>0.99198873798039067</v>
      </c>
      <c r="L255" s="113">
        <f t="shared" si="132"/>
        <v>0.99069321996359938</v>
      </c>
      <c r="M255" s="113">
        <f t="shared" si="132"/>
        <v>0.98947423584072247</v>
      </c>
    </row>
    <row r="256" spans="1:13">
      <c r="A256" s="220"/>
      <c r="B256" s="220"/>
      <c r="C256" s="220"/>
      <c r="D256" s="222"/>
      <c r="G256" s="29" t="s">
        <v>60</v>
      </c>
      <c r="H256" s="30" t="s">
        <v>61</v>
      </c>
      <c r="J256" s="116">
        <f>1-J255</f>
        <v>6.6338959669669517E-3</v>
      </c>
      <c r="K256" s="116">
        <f t="shared" ref="K256:M256" si="133">1-K255</f>
        <v>8.0112620196093332E-3</v>
      </c>
      <c r="L256" s="116">
        <f t="shared" si="133"/>
        <v>9.3067800364006192E-3</v>
      </c>
      <c r="M256" s="116">
        <f t="shared" si="133"/>
        <v>1.0525764159277529E-2</v>
      </c>
    </row>
    <row r="257" spans="1:8">
      <c r="A257" s="209" t="s">
        <v>1</v>
      </c>
      <c r="B257" s="311" t="s">
        <v>120</v>
      </c>
      <c r="C257" s="311"/>
      <c r="D257" s="209" t="s">
        <v>50</v>
      </c>
      <c r="E257" s="209" t="s">
        <v>51</v>
      </c>
      <c r="F257" s="209" t="s">
        <v>52</v>
      </c>
      <c r="G257" s="209" t="s">
        <v>53</v>
      </c>
      <c r="H257" s="209" t="s">
        <v>54</v>
      </c>
    </row>
    <row r="258" spans="1:8">
      <c r="A258" s="230" t="s">
        <v>41</v>
      </c>
      <c r="B258" s="312" t="s">
        <v>121</v>
      </c>
      <c r="C258" s="312"/>
      <c r="D258" s="58">
        <f>D102</f>
        <v>58872609.101202689</v>
      </c>
      <c r="E258" s="58">
        <f t="shared" ref="E258:H258" si="134">E102</f>
        <v>61548369.184852347</v>
      </c>
      <c r="F258" s="58">
        <f t="shared" si="134"/>
        <v>64345742.564303897</v>
      </c>
      <c r="G258" s="58">
        <f t="shared" si="134"/>
        <v>67270256.563851491</v>
      </c>
      <c r="H258" s="58">
        <f t="shared" si="134"/>
        <v>70327689.724678546</v>
      </c>
    </row>
    <row r="259" spans="1:8">
      <c r="A259" s="59" t="s">
        <v>43</v>
      </c>
      <c r="B259" s="309" t="s">
        <v>122</v>
      </c>
      <c r="C259" s="309"/>
      <c r="D259" s="60">
        <f>SUM(D260:D262)</f>
        <v>56773408.604139395</v>
      </c>
      <c r="E259" s="60">
        <f>SUM(E260:E262)</f>
        <v>58963721.235225409</v>
      </c>
      <c r="F259" s="60">
        <f>SUM(F260:F262)</f>
        <v>61602504.278676309</v>
      </c>
      <c r="G259" s="60">
        <f>SUM(G260:G262)</f>
        <v>64360397.904726438</v>
      </c>
      <c r="H259" s="60">
        <f>SUM(H260:H262)</f>
        <v>67242791.026153177</v>
      </c>
    </row>
    <row r="260" spans="1:8">
      <c r="A260" s="61">
        <v>1</v>
      </c>
      <c r="B260" s="310" t="s">
        <v>262</v>
      </c>
      <c r="C260" s="310"/>
      <c r="D260" s="115">
        <f>D174</f>
        <v>56137143.635896973</v>
      </c>
      <c r="E260" s="115">
        <f t="shared" ref="E260:H260" si="135">E174</f>
        <v>58661971.418498136</v>
      </c>
      <c r="F260" s="115">
        <f t="shared" si="135"/>
        <v>61300754.461949036</v>
      </c>
      <c r="G260" s="115">
        <f t="shared" si="135"/>
        <v>64058648.087999165</v>
      </c>
      <c r="H260" s="115">
        <f t="shared" si="135"/>
        <v>66941041.209425911</v>
      </c>
    </row>
    <row r="261" spans="1:8">
      <c r="A261" s="61">
        <v>2</v>
      </c>
      <c r="B261" s="310" t="s">
        <v>123</v>
      </c>
      <c r="C261" s="310"/>
      <c r="D261" s="63">
        <f>H207</f>
        <v>594742.42424242408</v>
      </c>
      <c r="E261" s="63">
        <f>F216</f>
        <v>260227.27272727271</v>
      </c>
      <c r="F261" s="63">
        <f t="shared" ref="F261:F262" si="136">E261</f>
        <v>260227.27272727271</v>
      </c>
      <c r="G261" s="63">
        <f>H216</f>
        <v>260227.27272727271</v>
      </c>
      <c r="H261" s="63">
        <f t="shared" ref="H261:H262" si="137">G261</f>
        <v>260227.27272727271</v>
      </c>
    </row>
    <row r="262" spans="1:8">
      <c r="A262" s="61">
        <v>3</v>
      </c>
      <c r="B262" s="310" t="s">
        <v>124</v>
      </c>
      <c r="C262" s="310"/>
      <c r="D262" s="63">
        <f>D251*(1+E239)</f>
        <v>41522.544000000002</v>
      </c>
      <c r="E262" s="63">
        <f>D262</f>
        <v>41522.544000000002</v>
      </c>
      <c r="F262" s="63">
        <f t="shared" si="136"/>
        <v>41522.544000000002</v>
      </c>
      <c r="G262" s="63">
        <f t="shared" ref="G262" si="138">F262</f>
        <v>41522.544000000002</v>
      </c>
      <c r="H262" s="63">
        <f t="shared" si="137"/>
        <v>41522.544000000002</v>
      </c>
    </row>
    <row r="263" spans="1:8">
      <c r="A263" s="59" t="s">
        <v>125</v>
      </c>
      <c r="B263" s="309" t="s">
        <v>129</v>
      </c>
      <c r="C263" s="309"/>
      <c r="D263" s="64">
        <f>D258-D259</f>
        <v>2099200.4970632941</v>
      </c>
      <c r="E263" s="64">
        <f t="shared" ref="E263:H263" si="139">E258-E259</f>
        <v>2584647.9496269375</v>
      </c>
      <c r="F263" s="64">
        <f t="shared" si="139"/>
        <v>2743238.2856275886</v>
      </c>
      <c r="G263" s="64">
        <f t="shared" si="139"/>
        <v>2909858.6591250524</v>
      </c>
      <c r="H263" s="64">
        <f t="shared" si="139"/>
        <v>3084898.6985253692</v>
      </c>
    </row>
    <row r="264" spans="1:8">
      <c r="A264" s="61"/>
      <c r="B264" s="310" t="s">
        <v>126</v>
      </c>
      <c r="C264" s="310"/>
      <c r="D264" s="65">
        <f>D263*$D$243</f>
        <v>419840.09941265883</v>
      </c>
      <c r="E264" s="65">
        <f t="shared" ref="E264:H264" si="140">E263*$D$243</f>
        <v>516929.58992538752</v>
      </c>
      <c r="F264" s="65">
        <f t="shared" si="140"/>
        <v>548647.65712551773</v>
      </c>
      <c r="G264" s="65">
        <f t="shared" si="140"/>
        <v>581971.7318250105</v>
      </c>
      <c r="H264" s="65">
        <f t="shared" si="140"/>
        <v>616979.73970507388</v>
      </c>
    </row>
    <row r="265" spans="1:8">
      <c r="A265" s="59" t="s">
        <v>127</v>
      </c>
      <c r="B265" s="309" t="s">
        <v>128</v>
      </c>
      <c r="C265" s="309"/>
      <c r="D265" s="64">
        <f>D263-D264</f>
        <v>1679360.3976506353</v>
      </c>
      <c r="E265" s="64">
        <f t="shared" ref="E265:H265" si="141">E263-E264</f>
        <v>2067718.3597015501</v>
      </c>
      <c r="F265" s="64">
        <f t="shared" si="141"/>
        <v>2194590.6285020709</v>
      </c>
      <c r="G265" s="64">
        <f t="shared" si="141"/>
        <v>2327886.927300042</v>
      </c>
      <c r="H265" s="64">
        <f t="shared" si="141"/>
        <v>2467918.9588202955</v>
      </c>
    </row>
    <row r="267" spans="1:8">
      <c r="A267" s="220"/>
      <c r="B267" s="220"/>
      <c r="C267" s="220"/>
      <c r="D267" s="222"/>
      <c r="G267" s="29" t="s">
        <v>60</v>
      </c>
      <c r="H267" s="30" t="s">
        <v>61</v>
      </c>
    </row>
    <row r="268" spans="1:8">
      <c r="A268" s="209" t="s">
        <v>1</v>
      </c>
      <c r="B268" s="311" t="s">
        <v>120</v>
      </c>
      <c r="C268" s="311"/>
      <c r="D268" s="209" t="s">
        <v>55</v>
      </c>
      <c r="E268" s="209" t="s">
        <v>56</v>
      </c>
      <c r="F268" s="209" t="s">
        <v>57</v>
      </c>
      <c r="G268" s="209" t="s">
        <v>58</v>
      </c>
      <c r="H268" s="209" t="s">
        <v>59</v>
      </c>
    </row>
    <row r="269" spans="1:8">
      <c r="A269" s="230" t="s">
        <v>41</v>
      </c>
      <c r="B269" s="312" t="s">
        <v>121</v>
      </c>
      <c r="C269" s="312"/>
      <c r="D269" s="58">
        <f>D112</f>
        <v>73524083.222665191</v>
      </c>
      <c r="E269" s="58">
        <f t="shared" ref="E269:H269" si="142">E112</f>
        <v>76865752.80513531</v>
      </c>
      <c r="F269" s="58">
        <f t="shared" si="142"/>
        <v>80359301.270128712</v>
      </c>
      <c r="G269" s="58">
        <f t="shared" si="142"/>
        <v>84011631.512856051</v>
      </c>
      <c r="H269" s="58">
        <f t="shared" si="142"/>
        <v>87829960.165115371</v>
      </c>
    </row>
    <row r="270" spans="1:8">
      <c r="A270" s="59" t="s">
        <v>43</v>
      </c>
      <c r="B270" s="309" t="s">
        <v>122</v>
      </c>
      <c r="C270" s="309"/>
      <c r="D270" s="60">
        <f>SUM(D271:D273)</f>
        <v>67088343.943215467</v>
      </c>
      <c r="E270" s="60">
        <f>SUM(E271:E273)</f>
        <v>70104684.670414641</v>
      </c>
      <c r="F270" s="60">
        <f>SUM(F271:F273)</f>
        <v>73257192.7953026</v>
      </c>
      <c r="G270" s="60">
        <f>SUM(G271:G273)</f>
        <v>76552029.367453426</v>
      </c>
      <c r="H270" s="60">
        <f>SUM(H271:H273)</f>
        <v>79995634.623384818</v>
      </c>
    </row>
    <row r="271" spans="1:8">
      <c r="A271" s="61">
        <v>1</v>
      </c>
      <c r="B271" s="310" t="s">
        <v>262</v>
      </c>
      <c r="C271" s="310"/>
      <c r="D271" s="115">
        <f>D185</f>
        <v>67044745.272015467</v>
      </c>
      <c r="E271" s="115">
        <f t="shared" ref="E271:H271" si="143">E185</f>
        <v>70061085.999214634</v>
      </c>
      <c r="F271" s="115">
        <f t="shared" si="143"/>
        <v>73213594.124102592</v>
      </c>
      <c r="G271" s="115">
        <f t="shared" si="143"/>
        <v>76508430.696253419</v>
      </c>
      <c r="H271" s="115">
        <f t="shared" si="143"/>
        <v>79952035.952184811</v>
      </c>
    </row>
    <row r="272" spans="1:8">
      <c r="A272" s="61">
        <v>2</v>
      </c>
      <c r="B272" s="310" t="s">
        <v>123</v>
      </c>
      <c r="C272" s="310"/>
      <c r="D272" s="63">
        <f>G225</f>
        <v>0</v>
      </c>
      <c r="E272" s="63">
        <f>D272</f>
        <v>0</v>
      </c>
      <c r="F272" s="63">
        <f t="shared" ref="F272:F273" si="144">E272</f>
        <v>0</v>
      </c>
      <c r="G272" s="63">
        <f t="shared" ref="G272:G273" si="145">F272</f>
        <v>0</v>
      </c>
      <c r="H272" s="63">
        <f t="shared" ref="H272:H273" si="146">G272</f>
        <v>0</v>
      </c>
    </row>
    <row r="273" spans="1:8">
      <c r="A273" s="61">
        <v>3</v>
      </c>
      <c r="B273" s="310" t="s">
        <v>124</v>
      </c>
      <c r="C273" s="310"/>
      <c r="D273" s="63">
        <f>D262*(1+E239)</f>
        <v>43598.671200000004</v>
      </c>
      <c r="E273" s="63">
        <f>D273</f>
        <v>43598.671200000004</v>
      </c>
      <c r="F273" s="63">
        <f t="shared" si="144"/>
        <v>43598.671200000004</v>
      </c>
      <c r="G273" s="63">
        <f t="shared" si="145"/>
        <v>43598.671200000004</v>
      </c>
      <c r="H273" s="63">
        <f t="shared" si="146"/>
        <v>43598.671200000004</v>
      </c>
    </row>
    <row r="274" spans="1:8">
      <c r="A274" s="59" t="s">
        <v>125</v>
      </c>
      <c r="B274" s="309" t="s">
        <v>129</v>
      </c>
      <c r="C274" s="309"/>
      <c r="D274" s="64">
        <f>D269-D270</f>
        <v>6435739.2794497237</v>
      </c>
      <c r="E274" s="64">
        <f t="shared" ref="E274:H274" si="147">E269-E270</f>
        <v>6761068.1347206682</v>
      </c>
      <c r="F274" s="64">
        <f t="shared" si="147"/>
        <v>7102108.4748261124</v>
      </c>
      <c r="G274" s="64">
        <f t="shared" si="147"/>
        <v>7459602.1454026252</v>
      </c>
      <c r="H274" s="64">
        <f t="shared" si="147"/>
        <v>7834325.5417305529</v>
      </c>
    </row>
    <row r="275" spans="1:8">
      <c r="A275" s="61"/>
      <c r="B275" s="310" t="s">
        <v>126</v>
      </c>
      <c r="C275" s="310"/>
      <c r="D275" s="65">
        <f>D274*$D$243</f>
        <v>1287147.8558899448</v>
      </c>
      <c r="E275" s="65">
        <f t="shared" ref="E275:H275" si="148">E274*$D$243</f>
        <v>1352213.6269441338</v>
      </c>
      <c r="F275" s="65">
        <f t="shared" si="148"/>
        <v>1420421.6949652226</v>
      </c>
      <c r="G275" s="65">
        <f t="shared" si="148"/>
        <v>1491920.4290805252</v>
      </c>
      <c r="H275" s="65">
        <f t="shared" si="148"/>
        <v>1566865.1083461107</v>
      </c>
    </row>
    <row r="276" spans="1:8">
      <c r="A276" s="59" t="s">
        <v>127</v>
      </c>
      <c r="B276" s="309" t="s">
        <v>128</v>
      </c>
      <c r="C276" s="309"/>
      <c r="D276" s="64">
        <f>D274-D275</f>
        <v>5148591.4235597793</v>
      </c>
      <c r="E276" s="64">
        <f t="shared" ref="E276:H276" si="149">E274-E275</f>
        <v>5408854.5077765342</v>
      </c>
      <c r="F276" s="64">
        <f t="shared" si="149"/>
        <v>5681686.7798608895</v>
      </c>
      <c r="G276" s="64">
        <f t="shared" si="149"/>
        <v>5967681.7163220998</v>
      </c>
      <c r="H276" s="64">
        <f t="shared" si="149"/>
        <v>6267460.4333844427</v>
      </c>
    </row>
  </sheetData>
  <mergeCells count="162">
    <mergeCell ref="A4:C4"/>
    <mergeCell ref="B250:C250"/>
    <mergeCell ref="B251:C251"/>
    <mergeCell ref="B252:C252"/>
    <mergeCell ref="B253:C253"/>
    <mergeCell ref="B254:C254"/>
    <mergeCell ref="C226:D226"/>
    <mergeCell ref="C217:D217"/>
    <mergeCell ref="A189:H189"/>
    <mergeCell ref="C199:D199"/>
    <mergeCell ref="B163:C163"/>
    <mergeCell ref="A188:H188"/>
    <mergeCell ref="B159:C159"/>
    <mergeCell ref="B160:C160"/>
    <mergeCell ref="B161:C161"/>
    <mergeCell ref="B162:C162"/>
    <mergeCell ref="A153:H153"/>
    <mergeCell ref="A155:A156"/>
    <mergeCell ref="B155:C155"/>
    <mergeCell ref="B156:C156"/>
    <mergeCell ref="B157:C157"/>
    <mergeCell ref="B158:C158"/>
    <mergeCell ref="E151:H151"/>
    <mergeCell ref="B136:C136"/>
    <mergeCell ref="A148:C148"/>
    <mergeCell ref="E148:H148"/>
    <mergeCell ref="A149:C149"/>
    <mergeCell ref="A150:C150"/>
    <mergeCell ref="E150:H150"/>
    <mergeCell ref="B255:C255"/>
    <mergeCell ref="A241:H241"/>
    <mergeCell ref="B246:C246"/>
    <mergeCell ref="B247:C247"/>
    <mergeCell ref="B248:C248"/>
    <mergeCell ref="B249:C249"/>
    <mergeCell ref="A244:H244"/>
    <mergeCell ref="C235:D235"/>
    <mergeCell ref="C208:D208"/>
    <mergeCell ref="B133:C133"/>
    <mergeCell ref="B134:C134"/>
    <mergeCell ref="B135:C135"/>
    <mergeCell ref="B90:C90"/>
    <mergeCell ref="A151:C151"/>
    <mergeCell ref="B137:C137"/>
    <mergeCell ref="B138:C138"/>
    <mergeCell ref="B139:C139"/>
    <mergeCell ref="B140:C140"/>
    <mergeCell ref="B142:C142"/>
    <mergeCell ref="B143:C143"/>
    <mergeCell ref="B144:C144"/>
    <mergeCell ref="B145:C145"/>
    <mergeCell ref="B91:C91"/>
    <mergeCell ref="B101:C101"/>
    <mergeCell ref="B111:C111"/>
    <mergeCell ref="B89:C89"/>
    <mergeCell ref="B62:C62"/>
    <mergeCell ref="B63:C63"/>
    <mergeCell ref="B92:C92"/>
    <mergeCell ref="A114:H114"/>
    <mergeCell ref="B132:C132"/>
    <mergeCell ref="B95:C95"/>
    <mergeCell ref="B96:C96"/>
    <mergeCell ref="B97:C97"/>
    <mergeCell ref="B98:C98"/>
    <mergeCell ref="B99:C99"/>
    <mergeCell ref="B100:C100"/>
    <mergeCell ref="B102:C102"/>
    <mergeCell ref="B105:C105"/>
    <mergeCell ref="B106:C106"/>
    <mergeCell ref="B107:C107"/>
    <mergeCell ref="B108:C108"/>
    <mergeCell ref="B109:C109"/>
    <mergeCell ref="B110:C110"/>
    <mergeCell ref="B112:C112"/>
    <mergeCell ref="B85:C85"/>
    <mergeCell ref="B86:C86"/>
    <mergeCell ref="B87:C87"/>
    <mergeCell ref="B88:C88"/>
    <mergeCell ref="B75:C75"/>
    <mergeCell ref="B76:C76"/>
    <mergeCell ref="B77:C77"/>
    <mergeCell ref="B78:C78"/>
    <mergeCell ref="B79:C79"/>
    <mergeCell ref="B80:C80"/>
    <mergeCell ref="B81:C81"/>
    <mergeCell ref="A1:H1"/>
    <mergeCell ref="A2:H2"/>
    <mergeCell ref="A3:H3"/>
    <mergeCell ref="A237:C237"/>
    <mergeCell ref="A238:C238"/>
    <mergeCell ref="A239:D239"/>
    <mergeCell ref="A11:B11"/>
    <mergeCell ref="A5:H5"/>
    <mergeCell ref="A6:B6"/>
    <mergeCell ref="A7:B7"/>
    <mergeCell ref="A8:B8"/>
    <mergeCell ref="A9:B9"/>
    <mergeCell ref="A10:B10"/>
    <mergeCell ref="A17:E17"/>
    <mergeCell ref="B20:D20"/>
    <mergeCell ref="B21:D21"/>
    <mergeCell ref="B22:D22"/>
    <mergeCell ref="B23:D23"/>
    <mergeCell ref="B24:D24"/>
    <mergeCell ref="A13:H13"/>
    <mergeCell ref="A14:B14"/>
    <mergeCell ref="A15:B15"/>
    <mergeCell ref="A16:B16"/>
    <mergeCell ref="B27:D27"/>
    <mergeCell ref="A12:H12"/>
    <mergeCell ref="B26:D26"/>
    <mergeCell ref="B66:C66"/>
    <mergeCell ref="B67:C67"/>
    <mergeCell ref="B68:C68"/>
    <mergeCell ref="B69:C69"/>
    <mergeCell ref="B70:C70"/>
    <mergeCell ref="B71:C71"/>
    <mergeCell ref="B72:C72"/>
    <mergeCell ref="B57:C57"/>
    <mergeCell ref="B58:C58"/>
    <mergeCell ref="B59:C59"/>
    <mergeCell ref="B60:C60"/>
    <mergeCell ref="B61:C61"/>
    <mergeCell ref="B25:D25"/>
    <mergeCell ref="A166:A167"/>
    <mergeCell ref="B166:C166"/>
    <mergeCell ref="B167:C167"/>
    <mergeCell ref="B168:C168"/>
    <mergeCell ref="B169:C169"/>
    <mergeCell ref="B170:C170"/>
    <mergeCell ref="B171:C171"/>
    <mergeCell ref="B172:C172"/>
    <mergeCell ref="B173:C173"/>
    <mergeCell ref="B174:C174"/>
    <mergeCell ref="A177:A178"/>
    <mergeCell ref="B177:C177"/>
    <mergeCell ref="B178:C178"/>
    <mergeCell ref="B179:C179"/>
    <mergeCell ref="B180:C180"/>
    <mergeCell ref="B181:C181"/>
    <mergeCell ref="B182:C182"/>
    <mergeCell ref="B183:C183"/>
    <mergeCell ref="B184:C184"/>
    <mergeCell ref="B185:C185"/>
    <mergeCell ref="B257:C257"/>
    <mergeCell ref="B258:C258"/>
    <mergeCell ref="B259:C259"/>
    <mergeCell ref="B260:C260"/>
    <mergeCell ref="B261:C261"/>
    <mergeCell ref="B262:C262"/>
    <mergeCell ref="B263:C263"/>
    <mergeCell ref="B275:C275"/>
    <mergeCell ref="B276:C276"/>
    <mergeCell ref="B264:C264"/>
    <mergeCell ref="B265:C265"/>
    <mergeCell ref="B268:C268"/>
    <mergeCell ref="B269:C269"/>
    <mergeCell ref="B270:C270"/>
    <mergeCell ref="B271:C271"/>
    <mergeCell ref="B272:C272"/>
    <mergeCell ref="B273:C273"/>
    <mergeCell ref="B274:C274"/>
  </mergeCells>
  <pageMargins left="0.70866141732283472" right="0.31496062992125984" top="0.74803149606299213" bottom="0.74803149606299213" header="0.31496062992125984" footer="0.31496062992125984"/>
  <pageSetup paperSize="9" scale="78" orientation="portrait" verticalDpi="0" r:id="rId1"/>
  <headerFooter>
    <oddFooter>&amp;R&amp;N</oddFooter>
  </headerFooter>
</worksheet>
</file>

<file path=xl/worksheets/sheet5.xml><?xml version="1.0" encoding="utf-8"?>
<worksheet xmlns="http://schemas.openxmlformats.org/spreadsheetml/2006/main" xmlns:r="http://schemas.openxmlformats.org/officeDocument/2006/relationships">
  <dimension ref="A1:L332"/>
  <sheetViews>
    <sheetView zoomScale="115" zoomScaleNormal="115" zoomScaleSheetLayoutView="115" workbookViewId="0">
      <selection activeCell="H323" sqref="H323"/>
    </sheetView>
  </sheetViews>
  <sheetFormatPr defaultRowHeight="16.5"/>
  <cols>
    <col min="1" max="1" width="4.125" style="119" customWidth="1"/>
    <col min="2" max="2" width="28.25" style="119" customWidth="1"/>
    <col min="3" max="3" width="10.25" style="119" customWidth="1"/>
    <col min="4" max="4" width="13.625" style="119" customWidth="1"/>
    <col min="5" max="6" width="13.625" style="1" customWidth="1"/>
    <col min="7" max="7" width="13.625" style="4" customWidth="1"/>
    <col min="8" max="8" width="13.625" style="11" customWidth="1"/>
    <col min="9" max="9" width="18.25" style="1" bestFit="1" customWidth="1"/>
    <col min="10" max="10" width="9" style="1"/>
    <col min="11" max="11" width="18" style="1" customWidth="1"/>
    <col min="12" max="12" width="13.75" style="1" customWidth="1"/>
    <col min="13" max="16384" width="9" style="1"/>
  </cols>
  <sheetData>
    <row r="1" spans="1:8" ht="18.75">
      <c r="A1" s="325" t="s">
        <v>270</v>
      </c>
      <c r="B1" s="325"/>
      <c r="C1" s="325"/>
      <c r="D1" s="325"/>
      <c r="E1" s="325"/>
      <c r="F1" s="325"/>
      <c r="G1" s="325"/>
      <c r="H1" s="325"/>
    </row>
    <row r="2" spans="1:8">
      <c r="A2" s="314" t="s">
        <v>30</v>
      </c>
      <c r="B2" s="314"/>
      <c r="C2" s="314"/>
      <c r="D2" s="314"/>
      <c r="E2" s="314"/>
      <c r="F2" s="314"/>
      <c r="G2" s="314"/>
      <c r="H2" s="314"/>
    </row>
    <row r="3" spans="1:8" ht="51" customHeight="1">
      <c r="A3" s="318" t="s">
        <v>178</v>
      </c>
      <c r="B3" s="318"/>
      <c r="C3" s="318"/>
      <c r="D3" s="318"/>
      <c r="E3" s="318"/>
      <c r="F3" s="318"/>
      <c r="G3" s="318"/>
      <c r="H3" s="318"/>
    </row>
    <row r="4" spans="1:8" ht="17.100000000000001" customHeight="1">
      <c r="A4" s="318" t="s">
        <v>483</v>
      </c>
      <c r="B4" s="318"/>
      <c r="C4" s="318"/>
      <c r="D4" s="75">
        <v>15</v>
      </c>
      <c r="E4" s="129" t="s">
        <v>118</v>
      </c>
      <c r="F4" s="130"/>
      <c r="G4" s="130"/>
      <c r="H4" s="130"/>
    </row>
    <row r="5" spans="1:8" ht="17.100000000000001" customHeight="1">
      <c r="A5" s="318" t="s">
        <v>133</v>
      </c>
      <c r="B5" s="318"/>
      <c r="C5" s="318"/>
      <c r="D5" s="318"/>
      <c r="E5" s="318"/>
      <c r="F5" s="318"/>
      <c r="G5" s="318"/>
      <c r="H5" s="318"/>
    </row>
    <row r="6" spans="1:8" ht="17.100000000000001" customHeight="1">
      <c r="A6" s="318" t="s">
        <v>271</v>
      </c>
      <c r="B6" s="318"/>
      <c r="C6" s="318"/>
      <c r="D6" s="318"/>
      <c r="E6" s="318"/>
      <c r="F6" s="318"/>
      <c r="G6" s="318"/>
      <c r="H6" s="318"/>
    </row>
    <row r="7" spans="1:8" ht="17.100000000000001" customHeight="1">
      <c r="A7" s="318" t="s">
        <v>272</v>
      </c>
      <c r="B7" s="318"/>
      <c r="C7" s="318"/>
      <c r="D7" s="318"/>
      <c r="E7" s="318"/>
      <c r="F7" s="318"/>
      <c r="G7" s="318"/>
      <c r="H7" s="318"/>
    </row>
    <row r="8" spans="1:8" ht="17.100000000000001" customHeight="1">
      <c r="A8" s="318" t="s">
        <v>282</v>
      </c>
      <c r="B8" s="318"/>
      <c r="C8" s="318"/>
      <c r="D8" s="318"/>
      <c r="E8" s="318"/>
      <c r="F8" s="318"/>
      <c r="G8" s="318"/>
      <c r="H8" s="318"/>
    </row>
    <row r="9" spans="1:8" ht="17.100000000000001" customHeight="1">
      <c r="A9" s="318" t="s">
        <v>273</v>
      </c>
      <c r="B9" s="318"/>
      <c r="C9" s="318"/>
      <c r="D9" s="318"/>
      <c r="E9" s="318"/>
      <c r="F9" s="318"/>
      <c r="G9" s="318"/>
      <c r="H9" s="318"/>
    </row>
    <row r="10" spans="1:8" ht="17.100000000000001" customHeight="1">
      <c r="A10" s="318" t="s">
        <v>274</v>
      </c>
      <c r="B10" s="318"/>
      <c r="C10" s="318"/>
      <c r="D10" s="318"/>
      <c r="E10" s="318"/>
      <c r="F10" s="318"/>
      <c r="G10" s="318"/>
      <c r="H10" s="318"/>
    </row>
    <row r="11" spans="1:8" ht="17.100000000000001" customHeight="1">
      <c r="A11" s="318" t="s">
        <v>318</v>
      </c>
      <c r="B11" s="318"/>
      <c r="C11" s="318"/>
      <c r="D11" s="318"/>
      <c r="E11" s="318"/>
      <c r="F11" s="318"/>
      <c r="G11" s="318"/>
      <c r="H11" s="318"/>
    </row>
    <row r="12" spans="1:8" ht="17.100000000000001" customHeight="1">
      <c r="A12" s="318" t="s">
        <v>283</v>
      </c>
      <c r="B12" s="318"/>
      <c r="C12" s="318"/>
      <c r="D12" s="318"/>
      <c r="E12" s="318"/>
      <c r="F12" s="318"/>
      <c r="G12" s="318"/>
      <c r="H12" s="318"/>
    </row>
    <row r="13" spans="1:8" ht="17.25" customHeight="1">
      <c r="A13" s="318" t="s">
        <v>139</v>
      </c>
      <c r="B13" s="318"/>
      <c r="C13" s="318"/>
      <c r="D13" s="318"/>
      <c r="E13" s="318"/>
      <c r="F13" s="318"/>
      <c r="G13" s="318"/>
      <c r="H13" s="318"/>
    </row>
    <row r="14" spans="1:8" ht="19.5" customHeight="1">
      <c r="A14" s="318" t="s">
        <v>284</v>
      </c>
      <c r="B14" s="318"/>
      <c r="C14" s="318"/>
      <c r="D14" s="133">
        <v>0.2</v>
      </c>
      <c r="E14" s="129" t="s">
        <v>47</v>
      </c>
      <c r="F14" s="130"/>
      <c r="G14" s="130"/>
      <c r="H14" s="130"/>
    </row>
    <row r="15" spans="1:8" ht="19.5" customHeight="1">
      <c r="A15" s="318" t="s">
        <v>285</v>
      </c>
      <c r="B15" s="318"/>
      <c r="C15" s="318"/>
      <c r="D15" s="135">
        <v>0.04</v>
      </c>
      <c r="E15" s="129" t="s">
        <v>47</v>
      </c>
      <c r="F15" s="130"/>
      <c r="G15" s="130"/>
      <c r="H15" s="130"/>
    </row>
    <row r="16" spans="1:8" ht="19.5" customHeight="1">
      <c r="A16" s="318" t="s">
        <v>286</v>
      </c>
      <c r="B16" s="318"/>
      <c r="C16" s="318"/>
      <c r="D16" s="135">
        <v>0.03</v>
      </c>
      <c r="E16" s="129" t="s">
        <v>47</v>
      </c>
      <c r="F16" s="130"/>
      <c r="G16" s="130"/>
      <c r="H16" s="130"/>
    </row>
    <row r="17" spans="1:8" ht="19.5" customHeight="1">
      <c r="A17" s="318" t="s">
        <v>276</v>
      </c>
      <c r="B17" s="318"/>
      <c r="C17" s="318"/>
      <c r="D17" s="135"/>
      <c r="E17" s="129"/>
      <c r="F17" s="130"/>
      <c r="G17" s="130"/>
      <c r="H17" s="130"/>
    </row>
    <row r="18" spans="1:8" ht="19.5" customHeight="1">
      <c r="A18" s="318" t="s">
        <v>279</v>
      </c>
      <c r="B18" s="318"/>
      <c r="C18" s="318"/>
      <c r="D18" s="119">
        <v>40</v>
      </c>
      <c r="E18" s="129" t="s">
        <v>277</v>
      </c>
      <c r="F18" s="130"/>
      <c r="G18" s="130"/>
      <c r="H18" s="130"/>
    </row>
    <row r="19" spans="1:8" ht="19.5" customHeight="1">
      <c r="A19" s="318" t="s">
        <v>278</v>
      </c>
      <c r="B19" s="318"/>
      <c r="C19" s="318"/>
      <c r="D19" s="119">
        <v>18</v>
      </c>
      <c r="E19" s="129" t="s">
        <v>277</v>
      </c>
      <c r="F19" s="130"/>
      <c r="G19" s="130"/>
      <c r="H19" s="130"/>
    </row>
    <row r="20" spans="1:8" ht="19.5" customHeight="1">
      <c r="A20" s="318" t="s">
        <v>280</v>
      </c>
      <c r="B20" s="318"/>
      <c r="C20" s="318"/>
      <c r="D20" s="119">
        <v>12</v>
      </c>
      <c r="E20" s="129" t="s">
        <v>277</v>
      </c>
      <c r="F20" s="130"/>
      <c r="G20" s="130"/>
      <c r="H20" s="130"/>
    </row>
    <row r="21" spans="1:8" ht="15.75" customHeight="1">
      <c r="A21" s="126"/>
      <c r="B21" s="126"/>
      <c r="C21" s="126"/>
      <c r="D21" s="135"/>
      <c r="E21" s="129"/>
      <c r="F21" s="130"/>
      <c r="G21" s="130"/>
      <c r="H21" s="130"/>
    </row>
    <row r="22" spans="1:8">
      <c r="A22" s="314" t="s">
        <v>141</v>
      </c>
      <c r="B22" s="314"/>
      <c r="C22" s="314"/>
      <c r="D22" s="314"/>
      <c r="E22" s="314"/>
    </row>
    <row r="23" spans="1:8" ht="33" customHeight="1">
      <c r="A23" s="343" t="s">
        <v>275</v>
      </c>
      <c r="B23" s="343"/>
      <c r="C23" s="343"/>
      <c r="D23" s="343"/>
      <c r="E23" s="343"/>
      <c r="F23" s="343"/>
      <c r="G23" s="343"/>
      <c r="H23" s="343"/>
    </row>
    <row r="24" spans="1:8" ht="17.100000000000001" customHeight="1">
      <c r="A24" s="318" t="s">
        <v>302</v>
      </c>
      <c r="B24" s="318"/>
      <c r="C24" s="318"/>
      <c r="D24" s="135">
        <v>0.5</v>
      </c>
      <c r="E24" s="129" t="s">
        <v>47</v>
      </c>
      <c r="F24" s="168"/>
      <c r="G24" s="168"/>
      <c r="H24" s="168"/>
    </row>
    <row r="25" spans="1:8" ht="17.100000000000001" customHeight="1">
      <c r="A25" s="318" t="s">
        <v>514</v>
      </c>
      <c r="B25" s="318"/>
      <c r="C25" s="318"/>
      <c r="D25" s="135">
        <v>0.04</v>
      </c>
      <c r="E25" s="129" t="s">
        <v>47</v>
      </c>
      <c r="F25" s="168"/>
      <c r="G25" s="168"/>
      <c r="H25" s="168"/>
    </row>
    <row r="26" spans="1:8" ht="17.100000000000001" customHeight="1">
      <c r="A26" s="318" t="s">
        <v>515</v>
      </c>
      <c r="B26" s="318"/>
      <c r="C26" s="318"/>
      <c r="D26" s="135">
        <v>0.03</v>
      </c>
      <c r="E26" s="293" t="s">
        <v>47</v>
      </c>
      <c r="F26" s="295"/>
      <c r="G26" s="295"/>
      <c r="H26" s="295"/>
    </row>
    <row r="27" spans="1:8" ht="17.100000000000001" customHeight="1">
      <c r="A27" s="318" t="s">
        <v>516</v>
      </c>
      <c r="B27" s="318"/>
      <c r="C27" s="318"/>
      <c r="D27" s="135">
        <v>0.01</v>
      </c>
      <c r="E27" s="293" t="s">
        <v>47</v>
      </c>
      <c r="F27" s="380" t="s">
        <v>517</v>
      </c>
      <c r="G27" s="380"/>
      <c r="H27" s="380"/>
    </row>
    <row r="28" spans="1:8" ht="17.100000000000001" customHeight="1">
      <c r="A28" s="318" t="s">
        <v>322</v>
      </c>
      <c r="B28" s="318"/>
      <c r="C28" s="318"/>
      <c r="D28" s="119">
        <v>360</v>
      </c>
      <c r="E28" s="129" t="s">
        <v>28</v>
      </c>
      <c r="F28" s="168"/>
      <c r="G28" s="168"/>
      <c r="H28" s="168"/>
    </row>
    <row r="29" spans="1:8" ht="21.75" customHeight="1">
      <c r="A29" s="314" t="s">
        <v>287</v>
      </c>
      <c r="B29" s="314"/>
      <c r="C29" s="314"/>
      <c r="D29" s="314"/>
      <c r="E29" s="314"/>
      <c r="F29" s="168"/>
      <c r="G29" s="168"/>
      <c r="H29" s="168"/>
    </row>
    <row r="30" spans="1:8" ht="16.5" customHeight="1">
      <c r="A30" s="182" t="s">
        <v>1</v>
      </c>
      <c r="B30" s="367" t="s">
        <v>94</v>
      </c>
      <c r="C30" s="367"/>
      <c r="D30" s="182" t="s">
        <v>33</v>
      </c>
      <c r="E30" s="182" t="s">
        <v>34</v>
      </c>
      <c r="F30" s="182" t="s">
        <v>35</v>
      </c>
      <c r="G30" s="182" t="s">
        <v>36</v>
      </c>
      <c r="H30" s="182" t="s">
        <v>37</v>
      </c>
    </row>
    <row r="31" spans="1:8" ht="16.5" customHeight="1">
      <c r="A31" s="183">
        <v>1</v>
      </c>
      <c r="B31" s="366" t="s">
        <v>288</v>
      </c>
      <c r="C31" s="366"/>
      <c r="D31" s="182">
        <f>SUM(D18:D20)</f>
        <v>70</v>
      </c>
      <c r="E31" s="182">
        <f>D31</f>
        <v>70</v>
      </c>
      <c r="F31" s="182">
        <f t="shared" ref="F31:H34" si="0">E31</f>
        <v>70</v>
      </c>
      <c r="G31" s="182">
        <f t="shared" si="0"/>
        <v>70</v>
      </c>
      <c r="H31" s="182">
        <f t="shared" si="0"/>
        <v>70</v>
      </c>
    </row>
    <row r="32" spans="1:8" ht="16.5" customHeight="1">
      <c r="A32" s="183">
        <v>2</v>
      </c>
      <c r="B32" s="366" t="s">
        <v>323</v>
      </c>
      <c r="C32" s="366"/>
      <c r="D32" s="182">
        <f>D28</f>
        <v>360</v>
      </c>
      <c r="E32" s="182">
        <f>D32</f>
        <v>360</v>
      </c>
      <c r="F32" s="182">
        <f t="shared" si="0"/>
        <v>360</v>
      </c>
      <c r="G32" s="182">
        <f t="shared" si="0"/>
        <v>360</v>
      </c>
      <c r="H32" s="182">
        <f t="shared" si="0"/>
        <v>360</v>
      </c>
    </row>
    <row r="33" spans="1:8" ht="16.5" customHeight="1">
      <c r="A33" s="183">
        <v>3</v>
      </c>
      <c r="B33" s="366" t="s">
        <v>321</v>
      </c>
      <c r="C33" s="366"/>
      <c r="D33" s="378">
        <f>D31*D32</f>
        <v>25200</v>
      </c>
      <c r="E33" s="378">
        <f>D33</f>
        <v>25200</v>
      </c>
      <c r="F33" s="378">
        <f t="shared" si="0"/>
        <v>25200</v>
      </c>
      <c r="G33" s="378">
        <f t="shared" si="0"/>
        <v>25200</v>
      </c>
      <c r="H33" s="378">
        <f t="shared" si="0"/>
        <v>25200</v>
      </c>
    </row>
    <row r="34" spans="1:8" ht="16.5" customHeight="1">
      <c r="A34" s="183"/>
      <c r="B34" s="365" t="s">
        <v>289</v>
      </c>
      <c r="C34" s="365"/>
      <c r="D34" s="379">
        <v>0</v>
      </c>
      <c r="E34" s="379">
        <f>$D$25</f>
        <v>0.04</v>
      </c>
      <c r="F34" s="379">
        <f>E34</f>
        <v>0.04</v>
      </c>
      <c r="G34" s="379">
        <f t="shared" si="0"/>
        <v>0.04</v>
      </c>
      <c r="H34" s="379">
        <f t="shared" si="0"/>
        <v>0.04</v>
      </c>
    </row>
    <row r="35" spans="1:8" ht="16.5" customHeight="1">
      <c r="A35" s="183"/>
      <c r="B35" s="365" t="s">
        <v>290</v>
      </c>
      <c r="C35" s="365"/>
      <c r="D35" s="379">
        <v>0.5</v>
      </c>
      <c r="E35" s="379">
        <f>D35*(1+E34)</f>
        <v>0.52</v>
      </c>
      <c r="F35" s="379">
        <f t="shared" ref="F35:H35" si="1">E35*(1+F34)</f>
        <v>0.54080000000000006</v>
      </c>
      <c r="G35" s="379">
        <f t="shared" si="1"/>
        <v>0.56243200000000004</v>
      </c>
      <c r="H35" s="379">
        <f t="shared" si="1"/>
        <v>0.58492928000000011</v>
      </c>
    </row>
    <row r="36" spans="1:8" ht="16.5" customHeight="1">
      <c r="A36" s="183">
        <v>4</v>
      </c>
      <c r="B36" s="366" t="s">
        <v>291</v>
      </c>
      <c r="C36" s="366"/>
      <c r="D36" s="378">
        <f>D33*D35</f>
        <v>12600</v>
      </c>
      <c r="E36" s="378">
        <f t="shared" ref="E36:H36" si="2">E33*E35</f>
        <v>13104</v>
      </c>
      <c r="F36" s="378">
        <f t="shared" si="2"/>
        <v>13628.160000000002</v>
      </c>
      <c r="G36" s="378">
        <f t="shared" si="2"/>
        <v>14173.286400000001</v>
      </c>
      <c r="H36" s="378">
        <f t="shared" si="2"/>
        <v>14740.217856000003</v>
      </c>
    </row>
    <row r="37" spans="1:8" ht="16.5" customHeight="1">
      <c r="A37" s="181"/>
      <c r="B37" s="343"/>
      <c r="C37" s="343"/>
      <c r="D37" s="168"/>
      <c r="E37" s="168"/>
      <c r="F37" s="168"/>
      <c r="G37" s="168"/>
      <c r="H37" s="168"/>
    </row>
    <row r="38" spans="1:8" ht="16.5" customHeight="1">
      <c r="A38" s="182" t="s">
        <v>1</v>
      </c>
      <c r="B38" s="367" t="s">
        <v>94</v>
      </c>
      <c r="C38" s="367"/>
      <c r="D38" s="182" t="s">
        <v>50</v>
      </c>
      <c r="E38" s="182" t="s">
        <v>51</v>
      </c>
      <c r="F38" s="182" t="s">
        <v>52</v>
      </c>
      <c r="G38" s="182" t="s">
        <v>53</v>
      </c>
      <c r="H38" s="182" t="s">
        <v>54</v>
      </c>
    </row>
    <row r="39" spans="1:8" ht="16.5" customHeight="1">
      <c r="A39" s="183">
        <v>1</v>
      </c>
      <c r="B39" s="366" t="s">
        <v>288</v>
      </c>
      <c r="C39" s="366"/>
      <c r="D39" s="182">
        <f>H31</f>
        <v>70</v>
      </c>
      <c r="E39" s="182">
        <f>D39</f>
        <v>70</v>
      </c>
      <c r="F39" s="182">
        <f t="shared" ref="F39:H40" si="3">E39</f>
        <v>70</v>
      </c>
      <c r="G39" s="182">
        <f t="shared" si="3"/>
        <v>70</v>
      </c>
      <c r="H39" s="182">
        <f t="shared" si="3"/>
        <v>70</v>
      </c>
    </row>
    <row r="40" spans="1:8" ht="16.5" customHeight="1">
      <c r="A40" s="183">
        <v>2</v>
      </c>
      <c r="B40" s="366" t="s">
        <v>323</v>
      </c>
      <c r="C40" s="366"/>
      <c r="D40" s="182">
        <f>H32</f>
        <v>360</v>
      </c>
      <c r="E40" s="182">
        <f>D40</f>
        <v>360</v>
      </c>
      <c r="F40" s="182">
        <f t="shared" si="3"/>
        <v>360</v>
      </c>
      <c r="G40" s="182">
        <f t="shared" si="3"/>
        <v>360</v>
      </c>
      <c r="H40" s="182">
        <f t="shared" si="3"/>
        <v>360</v>
      </c>
    </row>
    <row r="41" spans="1:8" ht="16.5" customHeight="1">
      <c r="A41" s="183">
        <v>3</v>
      </c>
      <c r="B41" s="366" t="s">
        <v>321</v>
      </c>
      <c r="C41" s="366"/>
      <c r="D41" s="378">
        <f>D39*D40</f>
        <v>25200</v>
      </c>
      <c r="E41" s="378">
        <f t="shared" ref="E41:H41" si="4">E39*E40</f>
        <v>25200</v>
      </c>
      <c r="F41" s="378">
        <f t="shared" si="4"/>
        <v>25200</v>
      </c>
      <c r="G41" s="378">
        <f t="shared" si="4"/>
        <v>25200</v>
      </c>
      <c r="H41" s="378">
        <f t="shared" si="4"/>
        <v>25200</v>
      </c>
    </row>
    <row r="42" spans="1:8" ht="16.5" customHeight="1">
      <c r="A42" s="183"/>
      <c r="B42" s="365" t="s">
        <v>289</v>
      </c>
      <c r="C42" s="365"/>
      <c r="D42" s="379">
        <f>D26</f>
        <v>0.03</v>
      </c>
      <c r="E42" s="379">
        <f>D42</f>
        <v>0.03</v>
      </c>
      <c r="F42" s="379">
        <f t="shared" ref="F42:G42" si="5">E42</f>
        <v>0.03</v>
      </c>
      <c r="G42" s="379">
        <f t="shared" si="5"/>
        <v>0.03</v>
      </c>
      <c r="H42" s="379">
        <v>0.01</v>
      </c>
    </row>
    <row r="43" spans="1:8" ht="16.5" customHeight="1">
      <c r="A43" s="183"/>
      <c r="B43" s="365" t="s">
        <v>290</v>
      </c>
      <c r="C43" s="365"/>
      <c r="D43" s="379">
        <f>H35+D42</f>
        <v>0.61492928000000013</v>
      </c>
      <c r="E43" s="379">
        <f>D43+E42</f>
        <v>0.64492928000000016</v>
      </c>
      <c r="F43" s="379">
        <f t="shared" ref="F43:H43" si="6">E43+F42</f>
        <v>0.67492928000000019</v>
      </c>
      <c r="G43" s="379">
        <f t="shared" si="6"/>
        <v>0.70492928000000021</v>
      </c>
      <c r="H43" s="379">
        <f t="shared" si="6"/>
        <v>0.71492928000000022</v>
      </c>
    </row>
    <row r="44" spans="1:8" ht="16.5" customHeight="1">
      <c r="A44" s="183">
        <v>4</v>
      </c>
      <c r="B44" s="366" t="s">
        <v>291</v>
      </c>
      <c r="C44" s="366"/>
      <c r="D44" s="378">
        <f>D41*D43</f>
        <v>15496.217856000003</v>
      </c>
      <c r="E44" s="378">
        <f t="shared" ref="E44:H44" si="7">E41*E43</f>
        <v>16252.217856000005</v>
      </c>
      <c r="F44" s="378">
        <f t="shared" si="7"/>
        <v>17008.217856000003</v>
      </c>
      <c r="G44" s="378">
        <f t="shared" si="7"/>
        <v>17764.217856000007</v>
      </c>
      <c r="H44" s="378">
        <f t="shared" si="7"/>
        <v>18016.217856000007</v>
      </c>
    </row>
    <row r="45" spans="1:8" ht="16.5" customHeight="1">
      <c r="A45" s="181"/>
      <c r="B45" s="168"/>
      <c r="C45" s="168"/>
      <c r="D45" s="168"/>
      <c r="E45" s="168"/>
      <c r="F45" s="168"/>
      <c r="G45" s="168"/>
      <c r="H45" s="168"/>
    </row>
    <row r="46" spans="1:8" ht="16.5" customHeight="1">
      <c r="A46" s="236" t="s">
        <v>1</v>
      </c>
      <c r="B46" s="367" t="s">
        <v>94</v>
      </c>
      <c r="C46" s="367"/>
      <c r="D46" s="236" t="s">
        <v>55</v>
      </c>
      <c r="E46" s="236" t="s">
        <v>56</v>
      </c>
      <c r="F46" s="236" t="s">
        <v>57</v>
      </c>
      <c r="G46" s="236" t="s">
        <v>58</v>
      </c>
      <c r="H46" s="236" t="s">
        <v>59</v>
      </c>
    </row>
    <row r="47" spans="1:8" ht="16.5" customHeight="1">
      <c r="A47" s="183">
        <v>1</v>
      </c>
      <c r="B47" s="366" t="s">
        <v>288</v>
      </c>
      <c r="C47" s="366"/>
      <c r="D47" s="236">
        <f>H39</f>
        <v>70</v>
      </c>
      <c r="E47" s="236">
        <f>D47</f>
        <v>70</v>
      </c>
      <c r="F47" s="236">
        <f t="shared" ref="F47:F48" si="8">E47</f>
        <v>70</v>
      </c>
      <c r="G47" s="236">
        <f t="shared" ref="G47:G48" si="9">F47</f>
        <v>70</v>
      </c>
      <c r="H47" s="236">
        <f t="shared" ref="H47:H48" si="10">G47</f>
        <v>70</v>
      </c>
    </row>
    <row r="48" spans="1:8" ht="16.5" customHeight="1">
      <c r="A48" s="183">
        <v>2</v>
      </c>
      <c r="B48" s="366" t="s">
        <v>323</v>
      </c>
      <c r="C48" s="366"/>
      <c r="D48" s="236">
        <f>H40</f>
        <v>360</v>
      </c>
      <c r="E48" s="236">
        <f>D48</f>
        <v>360</v>
      </c>
      <c r="F48" s="236">
        <f t="shared" si="8"/>
        <v>360</v>
      </c>
      <c r="G48" s="236">
        <f t="shared" si="9"/>
        <v>360</v>
      </c>
      <c r="H48" s="236">
        <f t="shared" si="10"/>
        <v>360</v>
      </c>
    </row>
    <row r="49" spans="1:11" ht="16.5" customHeight="1">
      <c r="A49" s="183">
        <v>3</v>
      </c>
      <c r="B49" s="366" t="s">
        <v>321</v>
      </c>
      <c r="C49" s="366"/>
      <c r="D49" s="378">
        <f>D47*D48</f>
        <v>25200</v>
      </c>
      <c r="E49" s="378">
        <f t="shared" ref="E49:H49" si="11">E47*E48</f>
        <v>25200</v>
      </c>
      <c r="F49" s="378">
        <f t="shared" si="11"/>
        <v>25200</v>
      </c>
      <c r="G49" s="378">
        <f t="shared" si="11"/>
        <v>25200</v>
      </c>
      <c r="H49" s="378">
        <f t="shared" si="11"/>
        <v>25200</v>
      </c>
    </row>
    <row r="50" spans="1:11" ht="16.5" customHeight="1">
      <c r="A50" s="183"/>
      <c r="B50" s="365" t="s">
        <v>289</v>
      </c>
      <c r="C50" s="365"/>
      <c r="D50" s="379">
        <f>D27</f>
        <v>0.01</v>
      </c>
      <c r="E50" s="379">
        <f>D50</f>
        <v>0.01</v>
      </c>
      <c r="F50" s="379">
        <f t="shared" ref="F50:G50" si="12">E50</f>
        <v>0.01</v>
      </c>
      <c r="G50" s="379">
        <f t="shared" si="12"/>
        <v>0.01</v>
      </c>
      <c r="H50" s="379">
        <v>0.01</v>
      </c>
    </row>
    <row r="51" spans="1:11" ht="16.5" customHeight="1">
      <c r="A51" s="183"/>
      <c r="B51" s="365" t="s">
        <v>290</v>
      </c>
      <c r="C51" s="365"/>
      <c r="D51" s="379">
        <f>H43+D50</f>
        <v>0.72492928000000023</v>
      </c>
      <c r="E51" s="379">
        <f>D51+E50</f>
        <v>0.73492928000000024</v>
      </c>
      <c r="F51" s="379">
        <f t="shared" ref="F51" si="13">E51+F50</f>
        <v>0.74492928000000025</v>
      </c>
      <c r="G51" s="379">
        <f t="shared" ref="G51" si="14">F51+G50</f>
        <v>0.75492928000000026</v>
      </c>
      <c r="H51" s="379">
        <f t="shared" ref="H51" si="15">G51+H50</f>
        <v>0.76492928000000027</v>
      </c>
    </row>
    <row r="52" spans="1:11" ht="16.5" customHeight="1">
      <c r="A52" s="183">
        <v>4</v>
      </c>
      <c r="B52" s="366" t="s">
        <v>291</v>
      </c>
      <c r="C52" s="366"/>
      <c r="D52" s="378">
        <f>D49*D51</f>
        <v>18268.217856000007</v>
      </c>
      <c r="E52" s="378">
        <f t="shared" ref="E52:H52" si="16">E49*E51</f>
        <v>18520.217856000007</v>
      </c>
      <c r="F52" s="378">
        <f t="shared" si="16"/>
        <v>18772.217856000007</v>
      </c>
      <c r="G52" s="378">
        <f t="shared" si="16"/>
        <v>19024.217856000007</v>
      </c>
      <c r="H52" s="378">
        <f t="shared" si="16"/>
        <v>19276.217856000007</v>
      </c>
    </row>
    <row r="53" spans="1:11" ht="16.5" customHeight="1">
      <c r="A53" s="181"/>
      <c r="B53" s="232"/>
      <c r="C53" s="232"/>
      <c r="D53" s="232"/>
      <c r="E53" s="232"/>
      <c r="F53" s="232"/>
      <c r="G53" s="232"/>
      <c r="H53" s="232"/>
    </row>
    <row r="54" spans="1:11" ht="16.5" customHeight="1">
      <c r="A54" s="314" t="s">
        <v>292</v>
      </c>
      <c r="B54" s="314"/>
      <c r="C54" s="314"/>
      <c r="D54" s="314"/>
      <c r="E54" s="314"/>
      <c r="F54" s="168"/>
      <c r="G54" s="168"/>
      <c r="H54" s="168"/>
    </row>
    <row r="55" spans="1:11" ht="16.5" customHeight="1">
      <c r="A55" s="120"/>
      <c r="B55" s="120"/>
      <c r="C55" s="120"/>
      <c r="D55" s="120"/>
      <c r="E55" s="120"/>
      <c r="F55" s="168"/>
      <c r="G55" s="82" t="s">
        <v>60</v>
      </c>
      <c r="H55" s="30" t="s">
        <v>61</v>
      </c>
    </row>
    <row r="56" spans="1:11" ht="18" customHeight="1">
      <c r="A56" s="361" t="s">
        <v>1</v>
      </c>
      <c r="B56" s="361" t="s">
        <v>94</v>
      </c>
      <c r="C56" s="361"/>
      <c r="D56" s="182" t="s">
        <v>33</v>
      </c>
      <c r="E56" s="182" t="s">
        <v>34</v>
      </c>
      <c r="F56" s="182" t="s">
        <v>35</v>
      </c>
      <c r="G56" s="182" t="s">
        <v>36</v>
      </c>
      <c r="H56" s="182" t="s">
        <v>37</v>
      </c>
    </row>
    <row r="57" spans="1:11" ht="18" customHeight="1">
      <c r="A57" s="361"/>
      <c r="B57" s="361"/>
      <c r="C57" s="361"/>
      <c r="D57" s="182">
        <v>1</v>
      </c>
      <c r="E57" s="182">
        <v>2</v>
      </c>
      <c r="F57" s="182">
        <v>3</v>
      </c>
      <c r="G57" s="182">
        <v>4</v>
      </c>
      <c r="H57" s="182">
        <v>5</v>
      </c>
    </row>
    <row r="58" spans="1:11" ht="18" customHeight="1">
      <c r="A58" s="183"/>
      <c r="B58" s="358" t="s">
        <v>293</v>
      </c>
      <c r="C58" s="359"/>
      <c r="D58" s="184"/>
      <c r="E58" s="184"/>
      <c r="F58" s="184"/>
      <c r="G58" s="184"/>
      <c r="H58" s="184"/>
    </row>
    <row r="59" spans="1:11" ht="18" customHeight="1">
      <c r="A59" s="182">
        <v>1</v>
      </c>
      <c r="B59" s="358" t="s">
        <v>294</v>
      </c>
      <c r="C59" s="359"/>
      <c r="D59" s="184"/>
      <c r="E59" s="184"/>
      <c r="F59" s="184"/>
      <c r="G59" s="184"/>
      <c r="H59" s="184"/>
    </row>
    <row r="60" spans="1:11" ht="18" customHeight="1">
      <c r="A60" s="190" t="s">
        <v>295</v>
      </c>
      <c r="B60" s="362" t="s">
        <v>296</v>
      </c>
      <c r="C60" s="363"/>
      <c r="D60" s="191">
        <f>D36</f>
        <v>12600</v>
      </c>
      <c r="E60" s="191">
        <f t="shared" ref="E60:H60" si="17">E36</f>
        <v>13104</v>
      </c>
      <c r="F60" s="191">
        <f t="shared" si="17"/>
        <v>13628.160000000002</v>
      </c>
      <c r="G60" s="191">
        <f t="shared" si="17"/>
        <v>14173.286400000001</v>
      </c>
      <c r="H60" s="191">
        <f t="shared" si="17"/>
        <v>14740.217856000003</v>
      </c>
    </row>
    <row r="61" spans="1:11" ht="18" customHeight="1">
      <c r="A61" s="187"/>
      <c r="B61" s="192" t="s">
        <v>297</v>
      </c>
      <c r="C61" s="193">
        <v>0.6</v>
      </c>
      <c r="D61" s="194">
        <f>D60*$C$61</f>
        <v>7560</v>
      </c>
      <c r="E61" s="194">
        <f t="shared" ref="E61:H61" si="18">E60*$C$61</f>
        <v>7862.4</v>
      </c>
      <c r="F61" s="194">
        <f t="shared" si="18"/>
        <v>8176.8960000000006</v>
      </c>
      <c r="G61" s="194">
        <f t="shared" si="18"/>
        <v>8503.9718400000002</v>
      </c>
      <c r="H61" s="194">
        <f t="shared" si="18"/>
        <v>8844.1307136000014</v>
      </c>
    </row>
    <row r="62" spans="1:11" ht="18" customHeight="1">
      <c r="A62" s="187"/>
      <c r="B62" s="192" t="s">
        <v>298</v>
      </c>
      <c r="C62" s="193">
        <v>0.3</v>
      </c>
      <c r="D62" s="194">
        <f>D60*$C$62</f>
        <v>3780</v>
      </c>
      <c r="E62" s="194">
        <f t="shared" ref="E62:H62" si="19">E60*$C$62</f>
        <v>3931.2</v>
      </c>
      <c r="F62" s="194">
        <f t="shared" si="19"/>
        <v>4088.4480000000003</v>
      </c>
      <c r="G62" s="194">
        <f t="shared" si="19"/>
        <v>4251.9859200000001</v>
      </c>
      <c r="H62" s="194">
        <f t="shared" si="19"/>
        <v>4422.0653568000007</v>
      </c>
      <c r="K62" s="138"/>
    </row>
    <row r="63" spans="1:11" ht="18" customHeight="1">
      <c r="A63" s="187"/>
      <c r="B63" s="192" t="s">
        <v>299</v>
      </c>
      <c r="C63" s="193">
        <v>0.1</v>
      </c>
      <c r="D63" s="194">
        <f>D60*$C$63</f>
        <v>1260</v>
      </c>
      <c r="E63" s="194">
        <f t="shared" ref="E63:H63" si="20">E60*$C$63</f>
        <v>1310.4000000000001</v>
      </c>
      <c r="F63" s="194">
        <f t="shared" si="20"/>
        <v>1362.8160000000003</v>
      </c>
      <c r="G63" s="194">
        <f t="shared" si="20"/>
        <v>1417.3286400000002</v>
      </c>
      <c r="H63" s="194">
        <f t="shared" si="20"/>
        <v>1474.0217856000004</v>
      </c>
      <c r="K63" s="138"/>
    </row>
    <row r="64" spans="1:11" ht="18" customHeight="1">
      <c r="A64" s="195" t="s">
        <v>300</v>
      </c>
      <c r="B64" s="356" t="s">
        <v>303</v>
      </c>
      <c r="C64" s="357"/>
      <c r="D64" s="196"/>
      <c r="E64" s="196"/>
      <c r="F64" s="196"/>
      <c r="G64" s="196"/>
      <c r="H64" s="196"/>
      <c r="K64" s="138"/>
    </row>
    <row r="65" spans="1:11" ht="18" customHeight="1">
      <c r="A65" s="187"/>
      <c r="B65" s="192" t="s">
        <v>297</v>
      </c>
      <c r="C65" s="197"/>
      <c r="D65" s="194">
        <v>300</v>
      </c>
      <c r="E65" s="194">
        <f>D65*(1+$D$15)</f>
        <v>312</v>
      </c>
      <c r="F65" s="194">
        <f t="shared" ref="F65:H65" si="21">E65*(1+$D$15)</f>
        <v>324.48</v>
      </c>
      <c r="G65" s="194">
        <f t="shared" si="21"/>
        <v>337.45920000000001</v>
      </c>
      <c r="H65" s="194">
        <f t="shared" si="21"/>
        <v>350.95756800000004</v>
      </c>
      <c r="K65" s="138"/>
    </row>
    <row r="66" spans="1:11" ht="18" customHeight="1">
      <c r="A66" s="187"/>
      <c r="B66" s="192" t="s">
        <v>298</v>
      </c>
      <c r="C66" s="197"/>
      <c r="D66" s="194">
        <v>500</v>
      </c>
      <c r="E66" s="194">
        <f t="shared" ref="E66:H67" si="22">D66*(1+$D$15)</f>
        <v>520</v>
      </c>
      <c r="F66" s="194">
        <f t="shared" si="22"/>
        <v>540.80000000000007</v>
      </c>
      <c r="G66" s="194">
        <f t="shared" si="22"/>
        <v>562.43200000000013</v>
      </c>
      <c r="H66" s="194">
        <f t="shared" si="22"/>
        <v>584.92928000000018</v>
      </c>
    </row>
    <row r="67" spans="1:11" ht="18" customHeight="1">
      <c r="A67" s="187"/>
      <c r="B67" s="192" t="s">
        <v>299</v>
      </c>
      <c r="C67" s="197"/>
      <c r="D67" s="194">
        <v>800</v>
      </c>
      <c r="E67" s="194">
        <f t="shared" si="22"/>
        <v>832</v>
      </c>
      <c r="F67" s="194">
        <f t="shared" si="22"/>
        <v>865.28</v>
      </c>
      <c r="G67" s="194">
        <f t="shared" si="22"/>
        <v>899.89120000000003</v>
      </c>
      <c r="H67" s="194">
        <f t="shared" si="22"/>
        <v>935.8868480000001</v>
      </c>
      <c r="K67" s="138"/>
    </row>
    <row r="68" spans="1:11" ht="18" customHeight="1">
      <c r="A68" s="186"/>
      <c r="B68" s="354" t="s">
        <v>301</v>
      </c>
      <c r="C68" s="354"/>
      <c r="D68" s="198">
        <f>D61*D65+D62*D66+D63*D67</f>
        <v>5166000</v>
      </c>
      <c r="E68" s="198">
        <f t="shared" ref="E68:H68" si="23">E61*E65+E62*E66+E63*E67</f>
        <v>5587545.5999999996</v>
      </c>
      <c r="F68" s="198">
        <f t="shared" si="23"/>
        <v>6043489.3209600011</v>
      </c>
      <c r="G68" s="198">
        <f t="shared" si="23"/>
        <v>6536638.0495503368</v>
      </c>
      <c r="H68" s="198">
        <f t="shared" si="23"/>
        <v>7070027.7143936455</v>
      </c>
    </row>
    <row r="69" spans="1:11" ht="18" customHeight="1">
      <c r="A69" s="182">
        <v>2</v>
      </c>
      <c r="B69" s="358" t="s">
        <v>304</v>
      </c>
      <c r="C69" s="359"/>
      <c r="D69" s="184"/>
      <c r="E69" s="184"/>
      <c r="F69" s="184"/>
      <c r="G69" s="184"/>
      <c r="H69" s="184"/>
    </row>
    <row r="70" spans="1:11" ht="18" customHeight="1">
      <c r="A70" s="190" t="s">
        <v>305</v>
      </c>
      <c r="B70" s="362" t="s">
        <v>306</v>
      </c>
      <c r="C70" s="363"/>
      <c r="D70" s="199">
        <f>D71+D72</f>
        <v>9900</v>
      </c>
      <c r="E70" s="199">
        <f t="shared" ref="E70:H70" si="24">E71+E72</f>
        <v>10296</v>
      </c>
      <c r="F70" s="199">
        <f t="shared" si="24"/>
        <v>10707.84</v>
      </c>
      <c r="G70" s="199">
        <f t="shared" si="24"/>
        <v>11136.153600000001</v>
      </c>
      <c r="H70" s="199">
        <f t="shared" si="24"/>
        <v>11581.599744000003</v>
      </c>
    </row>
    <row r="71" spans="1:11" ht="18" customHeight="1">
      <c r="A71" s="187"/>
      <c r="B71" s="196" t="s">
        <v>307</v>
      </c>
      <c r="C71" s="193">
        <v>0.5</v>
      </c>
      <c r="D71" s="200">
        <f>D60*$C$71</f>
        <v>6300</v>
      </c>
      <c r="E71" s="200">
        <f t="shared" ref="E71:H71" si="25">E60*$C$71</f>
        <v>6552</v>
      </c>
      <c r="F71" s="200">
        <f t="shared" si="25"/>
        <v>6814.0800000000008</v>
      </c>
      <c r="G71" s="200">
        <f t="shared" si="25"/>
        <v>7086.6432000000004</v>
      </c>
      <c r="H71" s="200">
        <f t="shared" si="25"/>
        <v>7370.1089280000015</v>
      </c>
    </row>
    <row r="72" spans="1:11" ht="35.25" customHeight="1">
      <c r="A72" s="187"/>
      <c r="B72" s="196" t="s">
        <v>324</v>
      </c>
      <c r="C72" s="187">
        <v>10</v>
      </c>
      <c r="D72" s="194">
        <f>$D$28*C72</f>
        <v>3600</v>
      </c>
      <c r="E72" s="194">
        <f>D72*(1+$D$25)</f>
        <v>3744</v>
      </c>
      <c r="F72" s="194">
        <f t="shared" ref="F72:H72" si="26">E72*(1+$D$25)</f>
        <v>3893.76</v>
      </c>
      <c r="G72" s="194">
        <f t="shared" si="26"/>
        <v>4049.5104000000006</v>
      </c>
      <c r="H72" s="194">
        <f t="shared" si="26"/>
        <v>4211.4908160000005</v>
      </c>
    </row>
    <row r="73" spans="1:11" ht="18" customHeight="1">
      <c r="A73" s="195" t="s">
        <v>308</v>
      </c>
      <c r="B73" s="356" t="s">
        <v>309</v>
      </c>
      <c r="C73" s="357"/>
      <c r="D73" s="194">
        <v>150</v>
      </c>
      <c r="E73" s="194">
        <f>D73*(1+$D$15)</f>
        <v>156</v>
      </c>
      <c r="F73" s="194">
        <f t="shared" ref="F73:H73" si="27">E73*(1+$D$15)</f>
        <v>162.24</v>
      </c>
      <c r="G73" s="194">
        <f t="shared" si="27"/>
        <v>168.7296</v>
      </c>
      <c r="H73" s="194">
        <f t="shared" si="27"/>
        <v>175.47878400000002</v>
      </c>
    </row>
    <row r="74" spans="1:11" ht="18" customHeight="1">
      <c r="A74" s="186"/>
      <c r="B74" s="354" t="s">
        <v>301</v>
      </c>
      <c r="C74" s="354"/>
      <c r="D74" s="198">
        <f>D70*D73</f>
        <v>1485000</v>
      </c>
      <c r="E74" s="198">
        <f t="shared" ref="E74:H74" si="28">E70*E73</f>
        <v>1606176</v>
      </c>
      <c r="F74" s="198">
        <f t="shared" si="28"/>
        <v>1737239.9616</v>
      </c>
      <c r="G74" s="198">
        <f t="shared" si="28"/>
        <v>1878998.7424665603</v>
      </c>
      <c r="H74" s="198">
        <f t="shared" si="28"/>
        <v>2032325.039851832</v>
      </c>
    </row>
    <row r="75" spans="1:11" ht="18" customHeight="1">
      <c r="A75" s="182">
        <v>3</v>
      </c>
      <c r="B75" s="358" t="s">
        <v>310</v>
      </c>
      <c r="C75" s="359"/>
      <c r="D75" s="185"/>
      <c r="E75" s="184"/>
      <c r="F75" s="184"/>
      <c r="G75" s="184"/>
      <c r="H75" s="184"/>
    </row>
    <row r="76" spans="1:11" ht="18" customHeight="1">
      <c r="A76" s="187" t="s">
        <v>311</v>
      </c>
      <c r="B76" s="360" t="s">
        <v>314</v>
      </c>
      <c r="C76" s="360"/>
      <c r="D76" s="194">
        <f>D77*D60</f>
        <v>1890000</v>
      </c>
      <c r="E76" s="194">
        <f>E77*E60</f>
        <v>2044224</v>
      </c>
      <c r="F76" s="194">
        <f>F77*F60</f>
        <v>2211032.6784000006</v>
      </c>
      <c r="G76" s="194">
        <f>G77*G60</f>
        <v>2391452.9449574403</v>
      </c>
      <c r="H76" s="194">
        <f>H77*H60</f>
        <v>2586595.5052659679</v>
      </c>
      <c r="I76" s="10"/>
    </row>
    <row r="77" spans="1:11" ht="18" customHeight="1">
      <c r="A77" s="187"/>
      <c r="B77" s="353" t="s">
        <v>312</v>
      </c>
      <c r="C77" s="353"/>
      <c r="D77" s="188">
        <v>150</v>
      </c>
      <c r="E77" s="189">
        <f>D77*(1+$D$15)</f>
        <v>156</v>
      </c>
      <c r="F77" s="189">
        <f t="shared" ref="F77:H79" si="29">E77*(1+$D$15)</f>
        <v>162.24</v>
      </c>
      <c r="G77" s="189">
        <f t="shared" si="29"/>
        <v>168.7296</v>
      </c>
      <c r="H77" s="189">
        <f t="shared" si="29"/>
        <v>175.47878400000002</v>
      </c>
    </row>
    <row r="78" spans="1:11" ht="18" customHeight="1">
      <c r="A78" s="187" t="s">
        <v>313</v>
      </c>
      <c r="B78" s="360" t="s">
        <v>316</v>
      </c>
      <c r="C78" s="360"/>
      <c r="D78" s="194">
        <f>D60*D79</f>
        <v>378000</v>
      </c>
      <c r="E78" s="194">
        <f>E60*E79</f>
        <v>408844.80000000005</v>
      </c>
      <c r="F78" s="194">
        <f>F60*F79</f>
        <v>442206.53568000015</v>
      </c>
      <c r="G78" s="194">
        <f>G60*G79</f>
        <v>478290.58899148821</v>
      </c>
      <c r="H78" s="194">
        <f>H60*H79</f>
        <v>517319.10105319368</v>
      </c>
    </row>
    <row r="79" spans="1:11" ht="18" customHeight="1">
      <c r="A79" s="187"/>
      <c r="B79" s="353" t="s">
        <v>312</v>
      </c>
      <c r="C79" s="353"/>
      <c r="D79" s="188">
        <v>30</v>
      </c>
      <c r="E79" s="189">
        <f>D79*(1+$D$15)</f>
        <v>31.200000000000003</v>
      </c>
      <c r="F79" s="189">
        <f t="shared" si="29"/>
        <v>32.448000000000008</v>
      </c>
      <c r="G79" s="189">
        <f t="shared" si="29"/>
        <v>33.745920000000012</v>
      </c>
      <c r="H79" s="189">
        <f t="shared" si="29"/>
        <v>35.095756800000011</v>
      </c>
    </row>
    <row r="80" spans="1:11" ht="18" customHeight="1">
      <c r="A80" s="187" t="s">
        <v>315</v>
      </c>
      <c r="B80" s="360" t="s">
        <v>319</v>
      </c>
      <c r="C80" s="360"/>
      <c r="D80" s="194">
        <f>D81*D82</f>
        <v>1300000</v>
      </c>
      <c r="E80" s="194">
        <f t="shared" ref="E80:H80" si="30">E81*E82</f>
        <v>1406080</v>
      </c>
      <c r="F80" s="194">
        <f t="shared" si="30"/>
        <v>1520816.128</v>
      </c>
      <c r="G80" s="194">
        <f t="shared" si="30"/>
        <v>1644914.7240448003</v>
      </c>
      <c r="H80" s="194">
        <f t="shared" si="30"/>
        <v>1779139.7655268561</v>
      </c>
    </row>
    <row r="81" spans="1:8" ht="18" customHeight="1">
      <c r="A81" s="187"/>
      <c r="B81" s="353" t="s">
        <v>320</v>
      </c>
      <c r="C81" s="353"/>
      <c r="D81" s="188">
        <v>26</v>
      </c>
      <c r="E81" s="189">
        <f>D81*(1+$D$15)</f>
        <v>27.04</v>
      </c>
      <c r="F81" s="189">
        <f t="shared" ref="F81:H82" si="31">E81*(1+$D$15)</f>
        <v>28.121600000000001</v>
      </c>
      <c r="G81" s="189">
        <f t="shared" si="31"/>
        <v>29.246464000000003</v>
      </c>
      <c r="H81" s="189">
        <f t="shared" si="31"/>
        <v>30.416322560000005</v>
      </c>
    </row>
    <row r="82" spans="1:8" ht="18" customHeight="1">
      <c r="A82" s="187"/>
      <c r="B82" s="353" t="s">
        <v>312</v>
      </c>
      <c r="C82" s="353"/>
      <c r="D82" s="188">
        <v>50000</v>
      </c>
      <c r="E82" s="189">
        <f>D82*(1+$D$15)</f>
        <v>52000</v>
      </c>
      <c r="F82" s="189">
        <f t="shared" si="31"/>
        <v>54080</v>
      </c>
      <c r="G82" s="189">
        <f t="shared" si="31"/>
        <v>56243.200000000004</v>
      </c>
      <c r="H82" s="189">
        <f t="shared" si="31"/>
        <v>58492.928000000007</v>
      </c>
    </row>
    <row r="83" spans="1:8" ht="18" customHeight="1">
      <c r="A83" s="186"/>
      <c r="B83" s="354" t="s">
        <v>301</v>
      </c>
      <c r="C83" s="354"/>
      <c r="D83" s="201">
        <f>D76+D78+D80</f>
        <v>3568000</v>
      </c>
      <c r="E83" s="201">
        <f t="shared" ref="E83:H83" si="32">E76+E78+E80</f>
        <v>3859148.7999999998</v>
      </c>
      <c r="F83" s="201">
        <f t="shared" si="32"/>
        <v>4174055.3420800008</v>
      </c>
      <c r="G83" s="201">
        <f t="shared" si="32"/>
        <v>4514658.2579937289</v>
      </c>
      <c r="H83" s="201">
        <f t="shared" si="32"/>
        <v>4883054.3718460174</v>
      </c>
    </row>
    <row r="84" spans="1:8" ht="20.100000000000001" customHeight="1">
      <c r="A84" s="202"/>
      <c r="B84" s="355" t="s">
        <v>317</v>
      </c>
      <c r="C84" s="355"/>
      <c r="D84" s="203">
        <f>D68+D74+D83</f>
        <v>10219000</v>
      </c>
      <c r="E84" s="203">
        <f>E68+E74+E83</f>
        <v>11052870.399999999</v>
      </c>
      <c r="F84" s="203">
        <f>F68+F74+F83</f>
        <v>11954784.624640003</v>
      </c>
      <c r="G84" s="203">
        <f>G68+G74+G83</f>
        <v>12930295.050010625</v>
      </c>
      <c r="H84" s="203">
        <f>H68+H74+H83</f>
        <v>13985407.126091495</v>
      </c>
    </row>
    <row r="85" spans="1:8" ht="16.5" customHeight="1">
      <c r="A85" s="181"/>
      <c r="B85" s="343"/>
      <c r="C85" s="343"/>
      <c r="D85" s="168"/>
      <c r="E85" s="168"/>
      <c r="F85" s="168"/>
      <c r="G85" s="168"/>
      <c r="H85" s="168"/>
    </row>
    <row r="86" spans="1:8" ht="16.5" customHeight="1">
      <c r="A86" s="120"/>
      <c r="B86" s="120"/>
      <c r="C86" s="120"/>
      <c r="D86" s="120"/>
      <c r="E86" s="120"/>
      <c r="F86" s="168"/>
      <c r="G86" s="82" t="s">
        <v>60</v>
      </c>
      <c r="H86" s="30" t="s">
        <v>61</v>
      </c>
    </row>
    <row r="87" spans="1:8" ht="16.5" customHeight="1">
      <c r="A87" s="361" t="s">
        <v>1</v>
      </c>
      <c r="B87" s="361" t="s">
        <v>94</v>
      </c>
      <c r="C87" s="361"/>
      <c r="D87" s="182" t="s">
        <v>50</v>
      </c>
      <c r="E87" s="182" t="s">
        <v>51</v>
      </c>
      <c r="F87" s="182" t="s">
        <v>52</v>
      </c>
      <c r="G87" s="182" t="s">
        <v>53</v>
      </c>
      <c r="H87" s="182" t="s">
        <v>54</v>
      </c>
    </row>
    <row r="88" spans="1:8" ht="16.5" customHeight="1">
      <c r="A88" s="361"/>
      <c r="B88" s="361"/>
      <c r="C88" s="361"/>
      <c r="D88" s="182">
        <v>6</v>
      </c>
      <c r="E88" s="182">
        <v>7</v>
      </c>
      <c r="F88" s="182">
        <v>8</v>
      </c>
      <c r="G88" s="182">
        <v>9</v>
      </c>
      <c r="H88" s="182">
        <v>10</v>
      </c>
    </row>
    <row r="89" spans="1:8" ht="16.5" customHeight="1">
      <c r="A89" s="183"/>
      <c r="B89" s="358" t="s">
        <v>293</v>
      </c>
      <c r="C89" s="359"/>
      <c r="D89" s="184"/>
      <c r="E89" s="184"/>
      <c r="F89" s="184"/>
      <c r="G89" s="184"/>
      <c r="H89" s="184"/>
    </row>
    <row r="90" spans="1:8" ht="16.5" customHeight="1">
      <c r="A90" s="182">
        <v>1</v>
      </c>
      <c r="B90" s="358" t="s">
        <v>294</v>
      </c>
      <c r="C90" s="359"/>
      <c r="D90" s="184"/>
      <c r="E90" s="184"/>
      <c r="F90" s="184"/>
      <c r="G90" s="184"/>
      <c r="H90" s="184"/>
    </row>
    <row r="91" spans="1:8" ht="16.5" customHeight="1">
      <c r="A91" s="190" t="s">
        <v>295</v>
      </c>
      <c r="B91" s="362" t="s">
        <v>296</v>
      </c>
      <c r="C91" s="363"/>
      <c r="D91" s="191">
        <f>D44</f>
        <v>15496.217856000003</v>
      </c>
      <c r="E91" s="191">
        <f t="shared" ref="E91:H91" si="33">E44</f>
        <v>16252.217856000005</v>
      </c>
      <c r="F91" s="191">
        <f t="shared" si="33"/>
        <v>17008.217856000003</v>
      </c>
      <c r="G91" s="191">
        <f t="shared" si="33"/>
        <v>17764.217856000007</v>
      </c>
      <c r="H91" s="191">
        <f t="shared" si="33"/>
        <v>18016.217856000007</v>
      </c>
    </row>
    <row r="92" spans="1:8" ht="16.5" customHeight="1">
      <c r="A92" s="187"/>
      <c r="B92" s="192" t="s">
        <v>297</v>
      </c>
      <c r="C92" s="193">
        <v>0.6</v>
      </c>
      <c r="D92" s="194">
        <f>D91*$C$61</f>
        <v>9297.7307136000018</v>
      </c>
      <c r="E92" s="194">
        <f t="shared" ref="E92:H92" si="34">E91*$C$61</f>
        <v>9751.3307136000021</v>
      </c>
      <c r="F92" s="194">
        <f t="shared" si="34"/>
        <v>10204.930713600001</v>
      </c>
      <c r="G92" s="194">
        <f t="shared" si="34"/>
        <v>10658.530713600003</v>
      </c>
      <c r="H92" s="194">
        <f t="shared" si="34"/>
        <v>10809.730713600004</v>
      </c>
    </row>
    <row r="93" spans="1:8" ht="16.5" customHeight="1">
      <c r="A93" s="187"/>
      <c r="B93" s="192" t="s">
        <v>298</v>
      </c>
      <c r="C93" s="193">
        <v>0.3</v>
      </c>
      <c r="D93" s="194">
        <f>D91*$C$62</f>
        <v>4648.8653568000009</v>
      </c>
      <c r="E93" s="194">
        <f t="shared" ref="E93:H93" si="35">E91*$C$62</f>
        <v>4875.6653568000011</v>
      </c>
      <c r="F93" s="194">
        <f t="shared" si="35"/>
        <v>5102.4653568000003</v>
      </c>
      <c r="G93" s="194">
        <f t="shared" si="35"/>
        <v>5329.2653568000014</v>
      </c>
      <c r="H93" s="194">
        <f t="shared" si="35"/>
        <v>5404.8653568000018</v>
      </c>
    </row>
    <row r="94" spans="1:8" ht="16.5" customHeight="1">
      <c r="A94" s="187"/>
      <c r="B94" s="192" t="s">
        <v>299</v>
      </c>
      <c r="C94" s="193">
        <v>0.1</v>
      </c>
      <c r="D94" s="194">
        <f>D91*$C$63</f>
        <v>1549.6217856000003</v>
      </c>
      <c r="E94" s="194">
        <f t="shared" ref="E94:H94" si="36">E91*$C$63</f>
        <v>1625.2217856000007</v>
      </c>
      <c r="F94" s="194">
        <f t="shared" si="36"/>
        <v>1700.8217856000003</v>
      </c>
      <c r="G94" s="194">
        <f t="shared" si="36"/>
        <v>1776.4217856000007</v>
      </c>
      <c r="H94" s="194">
        <f t="shared" si="36"/>
        <v>1801.6217856000007</v>
      </c>
    </row>
    <row r="95" spans="1:8" ht="16.5" customHeight="1">
      <c r="A95" s="195" t="s">
        <v>300</v>
      </c>
      <c r="B95" s="356" t="s">
        <v>303</v>
      </c>
      <c r="C95" s="357"/>
      <c r="D95" s="196"/>
      <c r="E95" s="196"/>
      <c r="F95" s="196"/>
      <c r="G95" s="196"/>
      <c r="H95" s="196"/>
    </row>
    <row r="96" spans="1:8" ht="16.5" customHeight="1">
      <c r="A96" s="187"/>
      <c r="B96" s="192" t="s">
        <v>297</v>
      </c>
      <c r="C96" s="197"/>
      <c r="D96" s="194">
        <f>H65*(1+$D$15)</f>
        <v>364.99587072000003</v>
      </c>
      <c r="E96" s="194">
        <f>D96*(1+$D$15)</f>
        <v>379.59570554880003</v>
      </c>
      <c r="F96" s="194">
        <f t="shared" ref="F96:H96" si="37">E96*(1+$D$15)</f>
        <v>394.77953377075204</v>
      </c>
      <c r="G96" s="194">
        <f t="shared" si="37"/>
        <v>410.57071512158211</v>
      </c>
      <c r="H96" s="194">
        <f t="shared" si="37"/>
        <v>426.99354372644541</v>
      </c>
    </row>
    <row r="97" spans="1:8" ht="16.5" customHeight="1">
      <c r="A97" s="187"/>
      <c r="B97" s="192" t="s">
        <v>298</v>
      </c>
      <c r="C97" s="197"/>
      <c r="D97" s="194">
        <f>H66*(1+$D$15)</f>
        <v>608.32645120000018</v>
      </c>
      <c r="E97" s="194">
        <f t="shared" ref="E97:H98" si="38">D97*(1+$D$15)</f>
        <v>632.65950924800018</v>
      </c>
      <c r="F97" s="194">
        <f t="shared" si="38"/>
        <v>657.9658896179202</v>
      </c>
      <c r="G97" s="194">
        <f t="shared" si="38"/>
        <v>684.28452520263704</v>
      </c>
      <c r="H97" s="194">
        <f t="shared" si="38"/>
        <v>711.6559062107425</v>
      </c>
    </row>
    <row r="98" spans="1:8" ht="16.5" customHeight="1">
      <c r="A98" s="187"/>
      <c r="B98" s="192" t="s">
        <v>299</v>
      </c>
      <c r="C98" s="197"/>
      <c r="D98" s="194">
        <f>H67*(1+$D$15)</f>
        <v>973.32232192000015</v>
      </c>
      <c r="E98" s="194">
        <f t="shared" si="38"/>
        <v>1012.2552147968001</v>
      </c>
      <c r="F98" s="194">
        <f t="shared" si="38"/>
        <v>1052.7454233886722</v>
      </c>
      <c r="G98" s="194">
        <f t="shared" si="38"/>
        <v>1094.855240324219</v>
      </c>
      <c r="H98" s="194">
        <f t="shared" si="38"/>
        <v>1138.6494499371879</v>
      </c>
    </row>
    <row r="99" spans="1:8" ht="16.5" customHeight="1">
      <c r="A99" s="186"/>
      <c r="B99" s="354" t="s">
        <v>301</v>
      </c>
      <c r="C99" s="354"/>
      <c r="D99" s="198">
        <f>D92*D96+D93*D97+D94*D98</f>
        <v>7729942.5565972961</v>
      </c>
      <c r="E99" s="198">
        <f t="shared" ref="E99:H99" si="39">E92*E96+E93*E97+E94*E98</f>
        <v>8431338.5418342091</v>
      </c>
      <c r="F99" s="198">
        <f t="shared" si="39"/>
        <v>9176478.2977995165</v>
      </c>
      <c r="G99" s="198">
        <f t="shared" si="39"/>
        <v>9967739.0925751179</v>
      </c>
      <c r="H99" s="198">
        <f t="shared" si="39"/>
        <v>10513505.232737511</v>
      </c>
    </row>
    <row r="100" spans="1:8" ht="16.5" customHeight="1">
      <c r="A100" s="182">
        <v>2</v>
      </c>
      <c r="B100" s="358" t="s">
        <v>304</v>
      </c>
      <c r="C100" s="359"/>
      <c r="D100" s="184"/>
      <c r="E100" s="184"/>
      <c r="F100" s="184"/>
      <c r="G100" s="184"/>
      <c r="H100" s="184"/>
    </row>
    <row r="101" spans="1:8" ht="16.5" customHeight="1">
      <c r="A101" s="190" t="s">
        <v>305</v>
      </c>
      <c r="B101" s="362" t="s">
        <v>306</v>
      </c>
      <c r="C101" s="363"/>
      <c r="D101" s="199">
        <f>D102+D103</f>
        <v>12128.059376640002</v>
      </c>
      <c r="E101" s="199">
        <f t="shared" ref="E101:H101" si="40">E102+E103</f>
        <v>12681.257394585604</v>
      </c>
      <c r="F101" s="199">
        <f t="shared" si="40"/>
        <v>13241.463333249027</v>
      </c>
      <c r="G101" s="199">
        <f t="shared" si="40"/>
        <v>13808.957509458991</v>
      </c>
      <c r="H101" s="199">
        <f t="shared" si="40"/>
        <v>14132.03145271735</v>
      </c>
    </row>
    <row r="102" spans="1:8" ht="16.5" customHeight="1">
      <c r="A102" s="187"/>
      <c r="B102" s="296" t="s">
        <v>307</v>
      </c>
      <c r="C102" s="193"/>
      <c r="D102" s="200">
        <f>D91*$C$71</f>
        <v>7748.1089280000015</v>
      </c>
      <c r="E102" s="200">
        <f t="shared" ref="E102:H102" si="41">E91*$C$71</f>
        <v>8126.1089280000024</v>
      </c>
      <c r="F102" s="200">
        <f t="shared" si="41"/>
        <v>8504.1089280000015</v>
      </c>
      <c r="G102" s="200">
        <f t="shared" si="41"/>
        <v>8882.1089280000033</v>
      </c>
      <c r="H102" s="200">
        <f t="shared" si="41"/>
        <v>9008.1089280000033</v>
      </c>
    </row>
    <row r="103" spans="1:8" ht="17.100000000000001" customHeight="1">
      <c r="A103" s="187"/>
      <c r="B103" s="296" t="s">
        <v>518</v>
      </c>
      <c r="C103" s="187"/>
      <c r="D103" s="194">
        <f>H72*(1+$D$25)</f>
        <v>4379.950448640001</v>
      </c>
      <c r="E103" s="194">
        <f>D103*(1+$D$25)</f>
        <v>4555.1484665856015</v>
      </c>
      <c r="F103" s="194">
        <f t="shared" ref="F103:H103" si="42">E103*(1+$D$25)</f>
        <v>4737.3544052490261</v>
      </c>
      <c r="G103" s="194">
        <f t="shared" si="42"/>
        <v>4926.8485814589876</v>
      </c>
      <c r="H103" s="194">
        <f t="shared" si="42"/>
        <v>5123.9225247173472</v>
      </c>
    </row>
    <row r="104" spans="1:8" ht="16.5" customHeight="1">
      <c r="A104" s="195" t="s">
        <v>308</v>
      </c>
      <c r="B104" s="356" t="s">
        <v>309</v>
      </c>
      <c r="C104" s="357"/>
      <c r="D104" s="194">
        <f>H73*(1+$D$15)</f>
        <v>182.49793536000001</v>
      </c>
      <c r="E104" s="194">
        <f>D104*(1+$D$15)</f>
        <v>189.79785277440001</v>
      </c>
      <c r="F104" s="194">
        <f t="shared" ref="F104:H104" si="43">E104*(1+$D$15)</f>
        <v>197.38976688537602</v>
      </c>
      <c r="G104" s="194">
        <f t="shared" si="43"/>
        <v>205.28535756079106</v>
      </c>
      <c r="H104" s="194">
        <f t="shared" si="43"/>
        <v>213.4967718632227</v>
      </c>
    </row>
    <row r="105" spans="1:8" ht="16.5" customHeight="1">
      <c r="A105" s="186"/>
      <c r="B105" s="354" t="s">
        <v>301</v>
      </c>
      <c r="C105" s="354"/>
      <c r="D105" s="198">
        <f>D101*D104</f>
        <v>2213345.7961602891</v>
      </c>
      <c r="E105" s="198">
        <f t="shared" ref="E105:H105" si="44">E101*E104</f>
        <v>2406875.4239718299</v>
      </c>
      <c r="F105" s="198">
        <f t="shared" si="44"/>
        <v>2613729.3605712797</v>
      </c>
      <c r="G105" s="198">
        <f t="shared" si="44"/>
        <v>2834776.7798710596</v>
      </c>
      <c r="H105" s="198">
        <f t="shared" si="44"/>
        <v>3017143.095024684</v>
      </c>
    </row>
    <row r="106" spans="1:8" ht="16.5" customHeight="1">
      <c r="A106" s="182">
        <v>3</v>
      </c>
      <c r="B106" s="358" t="s">
        <v>310</v>
      </c>
      <c r="C106" s="359"/>
      <c r="D106" s="185"/>
      <c r="E106" s="184"/>
      <c r="F106" s="184"/>
      <c r="G106" s="184"/>
      <c r="H106" s="184"/>
    </row>
    <row r="107" spans="1:8" ht="16.5" customHeight="1">
      <c r="A107" s="187" t="s">
        <v>311</v>
      </c>
      <c r="B107" s="360" t="s">
        <v>314</v>
      </c>
      <c r="C107" s="360"/>
      <c r="D107" s="194">
        <f>D108*D91</f>
        <v>2828027.7646087664</v>
      </c>
      <c r="E107" s="194">
        <f>E108*E91</f>
        <v>3084636.0518905642</v>
      </c>
      <c r="F107" s="194">
        <f>F108*F91</f>
        <v>3357248.1577315307</v>
      </c>
      <c r="G107" s="194">
        <f>G108*G91</f>
        <v>3646733.8143567503</v>
      </c>
      <c r="H107" s="194">
        <f>H108*H91</f>
        <v>3846404.3534405525</v>
      </c>
    </row>
    <row r="108" spans="1:8" ht="16.5" customHeight="1">
      <c r="A108" s="187"/>
      <c r="B108" s="353" t="s">
        <v>312</v>
      </c>
      <c r="C108" s="353"/>
      <c r="D108" s="189">
        <f>H77*(1+$D$15)</f>
        <v>182.49793536000001</v>
      </c>
      <c r="E108" s="189">
        <f>D108*(1+$D$15)</f>
        <v>189.79785277440001</v>
      </c>
      <c r="F108" s="189">
        <f t="shared" ref="F108:H108" si="45">E108*(1+$D$15)</f>
        <v>197.38976688537602</v>
      </c>
      <c r="G108" s="189">
        <f t="shared" si="45"/>
        <v>205.28535756079106</v>
      </c>
      <c r="H108" s="189">
        <f t="shared" si="45"/>
        <v>213.4967718632227</v>
      </c>
    </row>
    <row r="109" spans="1:8" ht="16.5" customHeight="1">
      <c r="A109" s="187" t="s">
        <v>313</v>
      </c>
      <c r="B109" s="360" t="s">
        <v>316</v>
      </c>
      <c r="C109" s="360"/>
      <c r="D109" s="194">
        <f>D91*D110</f>
        <v>565605.55292175349</v>
      </c>
      <c r="E109" s="194">
        <f>E91*E110</f>
        <v>616927.21037811285</v>
      </c>
      <c r="F109" s="194">
        <f>F91*F110</f>
        <v>671449.63154630619</v>
      </c>
      <c r="G109" s="194">
        <f>G91*G110</f>
        <v>729346.76287135016</v>
      </c>
      <c r="H109" s="194">
        <f>H91*H110</f>
        <v>769280.87068811071</v>
      </c>
    </row>
    <row r="110" spans="1:8" ht="16.5" customHeight="1">
      <c r="A110" s="187"/>
      <c r="B110" s="353" t="s">
        <v>312</v>
      </c>
      <c r="C110" s="353"/>
      <c r="D110" s="189">
        <f>H79*(1+$D$15)</f>
        <v>36.499587072000011</v>
      </c>
      <c r="E110" s="189">
        <f>D110*(1+$D$15)</f>
        <v>37.95957055488001</v>
      </c>
      <c r="F110" s="189">
        <f t="shared" ref="F110:H110" si="46">E110*(1+$D$15)</f>
        <v>39.47795337707521</v>
      </c>
      <c r="G110" s="189">
        <f t="shared" si="46"/>
        <v>41.057071512158217</v>
      </c>
      <c r="H110" s="189">
        <f t="shared" si="46"/>
        <v>42.699354372644549</v>
      </c>
    </row>
    <row r="111" spans="1:8" ht="16.5" customHeight="1">
      <c r="A111" s="187" t="s">
        <v>315</v>
      </c>
      <c r="B111" s="360" t="s">
        <v>319</v>
      </c>
      <c r="C111" s="360"/>
      <c r="D111" s="194">
        <f>D112*D113</f>
        <v>1924317.5703938475</v>
      </c>
      <c r="E111" s="194">
        <f t="shared" ref="E111:H111" si="47">E112*E113</f>
        <v>2081341.8841379858</v>
      </c>
      <c r="F111" s="194">
        <f t="shared" si="47"/>
        <v>2251179.3818836454</v>
      </c>
      <c r="G111" s="194">
        <f t="shared" si="47"/>
        <v>2434875.6194453514</v>
      </c>
      <c r="H111" s="194">
        <f t="shared" si="47"/>
        <v>2633561.4699920923</v>
      </c>
    </row>
    <row r="112" spans="1:8" ht="16.5" customHeight="1">
      <c r="A112" s="187"/>
      <c r="B112" s="353" t="s">
        <v>320</v>
      </c>
      <c r="C112" s="353"/>
      <c r="D112" s="189">
        <f>H81*(1+$D$15)</f>
        <v>31.632975462400005</v>
      </c>
      <c r="E112" s="189">
        <f>D112*(1+$D$15)</f>
        <v>32.898294480896006</v>
      </c>
      <c r="F112" s="189">
        <f t="shared" ref="F112:H113" si="48">E112*(1+$D$15)</f>
        <v>34.214226260131845</v>
      </c>
      <c r="G112" s="189">
        <f t="shared" si="48"/>
        <v>35.582795310537122</v>
      </c>
      <c r="H112" s="189">
        <f t="shared" si="48"/>
        <v>37.00610712295861</v>
      </c>
    </row>
    <row r="113" spans="1:8" ht="16.5" customHeight="1">
      <c r="A113" s="187"/>
      <c r="B113" s="353" t="s">
        <v>312</v>
      </c>
      <c r="C113" s="353"/>
      <c r="D113" s="189">
        <f>H82*(1+$D$15)</f>
        <v>60832.645120000008</v>
      </c>
      <c r="E113" s="189">
        <f>D113*(1+$D$15)</f>
        <v>63265.95092480001</v>
      </c>
      <c r="F113" s="189">
        <f t="shared" si="48"/>
        <v>65796.588961792018</v>
      </c>
      <c r="G113" s="189">
        <f t="shared" si="48"/>
        <v>68428.452520263701</v>
      </c>
      <c r="H113" s="189">
        <f t="shared" si="48"/>
        <v>71165.590621074254</v>
      </c>
    </row>
    <row r="114" spans="1:8" ht="16.5" customHeight="1">
      <c r="A114" s="186"/>
      <c r="B114" s="354" t="s">
        <v>301</v>
      </c>
      <c r="C114" s="354"/>
      <c r="D114" s="201">
        <f>D107+D109+D111</f>
        <v>5317950.8879243676</v>
      </c>
      <c r="E114" s="201">
        <f t="shared" ref="E114:H114" si="49">E107+E109+E111</f>
        <v>5782905.1464066627</v>
      </c>
      <c r="F114" s="201">
        <f t="shared" si="49"/>
        <v>6279877.1711614821</v>
      </c>
      <c r="G114" s="201">
        <f t="shared" si="49"/>
        <v>6810956.1966734529</v>
      </c>
      <c r="H114" s="201">
        <f t="shared" si="49"/>
        <v>7249246.6941207554</v>
      </c>
    </row>
    <row r="115" spans="1:8" ht="20.100000000000001" customHeight="1">
      <c r="A115" s="202"/>
      <c r="B115" s="355" t="s">
        <v>317</v>
      </c>
      <c r="C115" s="355"/>
      <c r="D115" s="203">
        <f>D99+D105+D114</f>
        <v>15261239.240681952</v>
      </c>
      <c r="E115" s="203">
        <f>E99+E105+E114</f>
        <v>16621119.112212703</v>
      </c>
      <c r="F115" s="203">
        <f>F99+F105+F114</f>
        <v>18070084.829532281</v>
      </c>
      <c r="G115" s="203">
        <f>G99+G105+G114</f>
        <v>19613472.069119632</v>
      </c>
      <c r="H115" s="203">
        <f>H99+H105+H114</f>
        <v>20779895.021882951</v>
      </c>
    </row>
    <row r="116" spans="1:8" ht="16.5" customHeight="1">
      <c r="A116" s="181"/>
      <c r="B116" s="168"/>
      <c r="C116" s="168"/>
      <c r="D116" s="168"/>
      <c r="E116" s="168"/>
      <c r="F116" s="168"/>
      <c r="G116" s="168"/>
      <c r="H116" s="168"/>
    </row>
    <row r="117" spans="1:8" ht="16.5" customHeight="1">
      <c r="A117" s="223"/>
      <c r="B117" s="223"/>
      <c r="C117" s="223"/>
      <c r="D117" s="223"/>
      <c r="E117" s="223"/>
      <c r="F117" s="232"/>
      <c r="G117" s="82" t="s">
        <v>60</v>
      </c>
      <c r="H117" s="30" t="s">
        <v>61</v>
      </c>
    </row>
    <row r="118" spans="1:8" ht="16.5" customHeight="1">
      <c r="A118" s="361" t="s">
        <v>1</v>
      </c>
      <c r="B118" s="361" t="s">
        <v>94</v>
      </c>
      <c r="C118" s="361"/>
      <c r="D118" s="236" t="s">
        <v>55</v>
      </c>
      <c r="E118" s="236" t="s">
        <v>56</v>
      </c>
      <c r="F118" s="236" t="s">
        <v>57</v>
      </c>
      <c r="G118" s="236" t="s">
        <v>58</v>
      </c>
      <c r="H118" s="236" t="s">
        <v>59</v>
      </c>
    </row>
    <row r="119" spans="1:8" ht="16.5" customHeight="1">
      <c r="A119" s="361"/>
      <c r="B119" s="361"/>
      <c r="C119" s="361"/>
      <c r="D119" s="236">
        <v>11</v>
      </c>
      <c r="E119" s="236">
        <v>12</v>
      </c>
      <c r="F119" s="236">
        <v>13</v>
      </c>
      <c r="G119" s="236">
        <v>14</v>
      </c>
      <c r="H119" s="236">
        <v>15</v>
      </c>
    </row>
    <row r="120" spans="1:8" ht="16.5" customHeight="1">
      <c r="A120" s="183"/>
      <c r="B120" s="358" t="s">
        <v>293</v>
      </c>
      <c r="C120" s="359"/>
      <c r="D120" s="235"/>
      <c r="E120" s="235"/>
      <c r="F120" s="235"/>
      <c r="G120" s="235"/>
      <c r="H120" s="235"/>
    </row>
    <row r="121" spans="1:8" ht="16.5" customHeight="1">
      <c r="A121" s="236">
        <v>1</v>
      </c>
      <c r="B121" s="358" t="s">
        <v>294</v>
      </c>
      <c r="C121" s="359"/>
      <c r="D121" s="235"/>
      <c r="E121" s="235"/>
      <c r="F121" s="235"/>
      <c r="G121" s="235"/>
      <c r="H121" s="235"/>
    </row>
    <row r="122" spans="1:8" ht="16.5" customHeight="1">
      <c r="A122" s="190" t="s">
        <v>295</v>
      </c>
      <c r="B122" s="362" t="s">
        <v>296</v>
      </c>
      <c r="C122" s="363"/>
      <c r="D122" s="191">
        <f>D52</f>
        <v>18268.217856000007</v>
      </c>
      <c r="E122" s="191">
        <f t="shared" ref="E122:H122" si="50">E52</f>
        <v>18520.217856000007</v>
      </c>
      <c r="F122" s="191">
        <f t="shared" si="50"/>
        <v>18772.217856000007</v>
      </c>
      <c r="G122" s="191">
        <f t="shared" si="50"/>
        <v>19024.217856000007</v>
      </c>
      <c r="H122" s="191">
        <f t="shared" si="50"/>
        <v>19276.217856000007</v>
      </c>
    </row>
    <row r="123" spans="1:8" ht="16.5" customHeight="1">
      <c r="A123" s="187"/>
      <c r="B123" s="192" t="s">
        <v>297</v>
      </c>
      <c r="C123" s="193">
        <v>0.6</v>
      </c>
      <c r="D123" s="194">
        <f>D122*$C$61</f>
        <v>10960.930713600004</v>
      </c>
      <c r="E123" s="194">
        <f t="shared" ref="E123:H123" si="51">E122*$C$61</f>
        <v>11112.130713600003</v>
      </c>
      <c r="F123" s="194">
        <f t="shared" si="51"/>
        <v>11263.330713600004</v>
      </c>
      <c r="G123" s="194">
        <f t="shared" si="51"/>
        <v>11414.530713600003</v>
      </c>
      <c r="H123" s="194">
        <f t="shared" si="51"/>
        <v>11565.730713600004</v>
      </c>
    </row>
    <row r="124" spans="1:8" ht="16.5" customHeight="1">
      <c r="A124" s="187"/>
      <c r="B124" s="192" t="s">
        <v>298</v>
      </c>
      <c r="C124" s="193">
        <v>0.3</v>
      </c>
      <c r="D124" s="194">
        <f>D122*$C$62</f>
        <v>5480.4653568000022</v>
      </c>
      <c r="E124" s="194">
        <f t="shared" ref="E124:H124" si="52">E122*$C$62</f>
        <v>5556.0653568000016</v>
      </c>
      <c r="F124" s="194">
        <f t="shared" si="52"/>
        <v>5631.665356800002</v>
      </c>
      <c r="G124" s="194">
        <f t="shared" si="52"/>
        <v>5707.2653568000014</v>
      </c>
      <c r="H124" s="194">
        <f t="shared" si="52"/>
        <v>5782.8653568000018</v>
      </c>
    </row>
    <row r="125" spans="1:8" ht="16.5" customHeight="1">
      <c r="A125" s="187"/>
      <c r="B125" s="192" t="s">
        <v>299</v>
      </c>
      <c r="C125" s="193">
        <v>0.1</v>
      </c>
      <c r="D125" s="194">
        <f>D122*$C$63</f>
        <v>1826.8217856000008</v>
      </c>
      <c r="E125" s="194">
        <f t="shared" ref="E125:H125" si="53">E122*$C$63</f>
        <v>1852.0217856000008</v>
      </c>
      <c r="F125" s="194">
        <f t="shared" si="53"/>
        <v>1877.2217856000007</v>
      </c>
      <c r="G125" s="194">
        <f t="shared" si="53"/>
        <v>1902.4217856000007</v>
      </c>
      <c r="H125" s="194">
        <f t="shared" si="53"/>
        <v>1927.6217856000007</v>
      </c>
    </row>
    <row r="126" spans="1:8" ht="16.5" customHeight="1">
      <c r="A126" s="195" t="s">
        <v>300</v>
      </c>
      <c r="B126" s="356" t="s">
        <v>303</v>
      </c>
      <c r="C126" s="357"/>
      <c r="D126" s="234"/>
      <c r="E126" s="234"/>
      <c r="F126" s="234"/>
      <c r="G126" s="234"/>
      <c r="H126" s="234"/>
    </row>
    <row r="127" spans="1:8" ht="16.5" customHeight="1">
      <c r="A127" s="187"/>
      <c r="B127" s="192" t="s">
        <v>297</v>
      </c>
      <c r="C127" s="197"/>
      <c r="D127" s="194">
        <f>H96*(1+$D$15)</f>
        <v>444.07328547550327</v>
      </c>
      <c r="E127" s="194">
        <f>D127*(1+$D$15)</f>
        <v>461.83621689452343</v>
      </c>
      <c r="F127" s="194">
        <f t="shared" ref="F127:F129" si="54">E127*(1+$D$15)</f>
        <v>480.30966557030439</v>
      </c>
      <c r="G127" s="194">
        <f t="shared" ref="G127:G129" si="55">F127*(1+$D$15)</f>
        <v>499.52205219311656</v>
      </c>
      <c r="H127" s="194">
        <f t="shared" ref="H127:H129" si="56">G127*(1+$D$15)</f>
        <v>519.50293428084126</v>
      </c>
    </row>
    <row r="128" spans="1:8" ht="16.5" customHeight="1">
      <c r="A128" s="187"/>
      <c r="B128" s="192" t="s">
        <v>298</v>
      </c>
      <c r="C128" s="197"/>
      <c r="D128" s="194">
        <f>H97*(1+$D$15)</f>
        <v>740.12214245917221</v>
      </c>
      <c r="E128" s="194">
        <f t="shared" ref="E128:E129" si="57">D128*(1+$D$15)</f>
        <v>769.72702815753917</v>
      </c>
      <c r="F128" s="194">
        <f t="shared" si="54"/>
        <v>800.51610928384071</v>
      </c>
      <c r="G128" s="194">
        <f t="shared" si="55"/>
        <v>832.53675365519439</v>
      </c>
      <c r="H128" s="194">
        <f t="shared" si="56"/>
        <v>865.83822380140214</v>
      </c>
    </row>
    <row r="129" spans="1:8" ht="16.5" customHeight="1">
      <c r="A129" s="187"/>
      <c r="B129" s="192" t="s">
        <v>299</v>
      </c>
      <c r="C129" s="197"/>
      <c r="D129" s="194">
        <f>H98*(1+$D$15)</f>
        <v>1184.1954279346755</v>
      </c>
      <c r="E129" s="194">
        <f t="shared" si="57"/>
        <v>1231.5632450520627</v>
      </c>
      <c r="F129" s="194">
        <f t="shared" si="54"/>
        <v>1280.8257748541453</v>
      </c>
      <c r="G129" s="194">
        <f t="shared" si="55"/>
        <v>1332.0588058483111</v>
      </c>
      <c r="H129" s="194">
        <f t="shared" si="56"/>
        <v>1385.3411580822435</v>
      </c>
    </row>
    <row r="130" spans="1:8" ht="16.5" customHeight="1">
      <c r="A130" s="186"/>
      <c r="B130" s="354" t="s">
        <v>301</v>
      </c>
      <c r="C130" s="354"/>
      <c r="D130" s="198">
        <f>D123*D127+D124*D128+D125*D129</f>
        <v>11086984.281564778</v>
      </c>
      <c r="E130" s="198">
        <f t="shared" ref="E130:H130" si="58">E123*E127+E124*E128+E125*E129</f>
        <v>11689520.045925843</v>
      </c>
      <c r="F130" s="198">
        <f t="shared" si="58"/>
        <v>12322519.496585289</v>
      </c>
      <c r="G130" s="198">
        <f t="shared" si="58"/>
        <v>12987455.671224009</v>
      </c>
      <c r="H130" s="198">
        <f t="shared" si="58"/>
        <v>13685870.708639292</v>
      </c>
    </row>
    <row r="131" spans="1:8" ht="16.5" customHeight="1">
      <c r="A131" s="236">
        <v>2</v>
      </c>
      <c r="B131" s="358" t="s">
        <v>304</v>
      </c>
      <c r="C131" s="359"/>
      <c r="D131" s="235"/>
      <c r="E131" s="235"/>
      <c r="F131" s="235"/>
      <c r="G131" s="235"/>
      <c r="H131" s="235"/>
    </row>
    <row r="132" spans="1:8" ht="16.5" customHeight="1">
      <c r="A132" s="190" t="s">
        <v>305</v>
      </c>
      <c r="B132" s="362" t="s">
        <v>306</v>
      </c>
      <c r="C132" s="363"/>
      <c r="D132" s="199">
        <f>D133+D134</f>
        <v>14462.988353706045</v>
      </c>
      <c r="E132" s="199">
        <f t="shared" ref="E132:H132" si="59">E133+E134</f>
        <v>14802.143530734287</v>
      </c>
      <c r="F132" s="199">
        <f t="shared" si="59"/>
        <v>15149.824914843659</v>
      </c>
      <c r="G132" s="199">
        <f t="shared" si="59"/>
        <v>15506.373554317404</v>
      </c>
      <c r="H132" s="199">
        <f t="shared" si="59"/>
        <v>15872.144139370101</v>
      </c>
    </row>
    <row r="133" spans="1:8" ht="16.5" customHeight="1">
      <c r="A133" s="187"/>
      <c r="B133" s="296" t="s">
        <v>307</v>
      </c>
      <c r="C133" s="193"/>
      <c r="D133" s="200">
        <f>D122*$C$71</f>
        <v>9134.1089280000033</v>
      </c>
      <c r="E133" s="200">
        <f t="shared" ref="E133:H133" si="60">E122*$C$71</f>
        <v>9260.1089280000033</v>
      </c>
      <c r="F133" s="200">
        <f t="shared" si="60"/>
        <v>9386.1089280000033</v>
      </c>
      <c r="G133" s="200">
        <f t="shared" si="60"/>
        <v>9512.1089280000033</v>
      </c>
      <c r="H133" s="200">
        <f t="shared" si="60"/>
        <v>9638.1089280000033</v>
      </c>
    </row>
    <row r="134" spans="1:8" ht="17.100000000000001" customHeight="1">
      <c r="A134" s="187"/>
      <c r="B134" s="296" t="s">
        <v>518</v>
      </c>
      <c r="C134" s="187"/>
      <c r="D134" s="194">
        <f>H103*(1+$D$25)</f>
        <v>5328.8794257060408</v>
      </c>
      <c r="E134" s="194">
        <f>D134*(1+$D$25)</f>
        <v>5542.034602734283</v>
      </c>
      <c r="F134" s="194">
        <f t="shared" ref="F134" si="61">E134*(1+$D$25)</f>
        <v>5763.7159868436547</v>
      </c>
      <c r="G134" s="194">
        <f t="shared" ref="G134" si="62">F134*(1+$D$25)</f>
        <v>5994.2646263174011</v>
      </c>
      <c r="H134" s="194">
        <f t="shared" ref="H134" si="63">G134*(1+$D$25)</f>
        <v>6234.0352113700974</v>
      </c>
    </row>
    <row r="135" spans="1:8" ht="16.5" customHeight="1">
      <c r="A135" s="195" t="s">
        <v>308</v>
      </c>
      <c r="B135" s="356" t="s">
        <v>309</v>
      </c>
      <c r="C135" s="357"/>
      <c r="D135" s="194">
        <f>H104*(1+$D$15)</f>
        <v>222.03664273775163</v>
      </c>
      <c r="E135" s="194">
        <f>D135*(1+$D$15)</f>
        <v>230.91810844726172</v>
      </c>
      <c r="F135" s="194">
        <f t="shared" ref="F135" si="64">E135*(1+$D$15)</f>
        <v>240.15483278515219</v>
      </c>
      <c r="G135" s="194">
        <f t="shared" ref="G135" si="65">F135*(1+$D$15)</f>
        <v>249.76102609655828</v>
      </c>
      <c r="H135" s="194">
        <f t="shared" ref="H135" si="66">G135*(1+$D$15)</f>
        <v>259.75146714042063</v>
      </c>
    </row>
    <row r="136" spans="1:8" ht="16.5" customHeight="1">
      <c r="A136" s="186"/>
      <c r="B136" s="354" t="s">
        <v>301</v>
      </c>
      <c r="C136" s="354"/>
      <c r="D136" s="198">
        <f>D132*D135</f>
        <v>3211313.3780120919</v>
      </c>
      <c r="E136" s="198">
        <f t="shared" ref="E136:H136" si="67">E132*E135</f>
        <v>3418082.9850820336</v>
      </c>
      <c r="F136" s="198">
        <f t="shared" si="67"/>
        <v>3638303.6691486114</v>
      </c>
      <c r="G136" s="198">
        <f t="shared" si="67"/>
        <v>3872887.7699628505</v>
      </c>
      <c r="H136" s="198">
        <f t="shared" si="67"/>
        <v>4122812.7268656124</v>
      </c>
    </row>
    <row r="137" spans="1:8" ht="16.5" customHeight="1">
      <c r="A137" s="236">
        <v>3</v>
      </c>
      <c r="B137" s="358" t="s">
        <v>310</v>
      </c>
      <c r="C137" s="359"/>
      <c r="D137" s="185"/>
      <c r="E137" s="235"/>
      <c r="F137" s="235"/>
      <c r="G137" s="235"/>
      <c r="H137" s="235"/>
    </row>
    <row r="138" spans="1:8" ht="16.5" customHeight="1">
      <c r="A138" s="187" t="s">
        <v>311</v>
      </c>
      <c r="B138" s="360" t="s">
        <v>314</v>
      </c>
      <c r="C138" s="360"/>
      <c r="D138" s="194">
        <f>D139*D122</f>
        <v>4056213.7615480884</v>
      </c>
      <c r="E138" s="194">
        <f>E139*E122</f>
        <v>4276653.6753387228</v>
      </c>
      <c r="F138" s="194">
        <f>F139*F122</f>
        <v>4508238.8402141295</v>
      </c>
      <c r="G138" s="194">
        <f>G139*G122</f>
        <v>4751508.1723990273</v>
      </c>
      <c r="H138" s="194">
        <f>H139*H122</f>
        <v>5007025.8690143749</v>
      </c>
    </row>
    <row r="139" spans="1:8" ht="16.5" customHeight="1">
      <c r="A139" s="187"/>
      <c r="B139" s="353" t="s">
        <v>312</v>
      </c>
      <c r="C139" s="353"/>
      <c r="D139" s="189">
        <f>H108*(1+$D$15)</f>
        <v>222.03664273775163</v>
      </c>
      <c r="E139" s="189">
        <f>D139*(1+$D$15)</f>
        <v>230.91810844726172</v>
      </c>
      <c r="F139" s="189">
        <f t="shared" ref="F139" si="68">E139*(1+$D$15)</f>
        <v>240.15483278515219</v>
      </c>
      <c r="G139" s="189">
        <f t="shared" ref="G139" si="69">F139*(1+$D$15)</f>
        <v>249.76102609655828</v>
      </c>
      <c r="H139" s="189">
        <f t="shared" ref="H139" si="70">G139*(1+$D$15)</f>
        <v>259.75146714042063</v>
      </c>
    </row>
    <row r="140" spans="1:8" ht="16.5" customHeight="1">
      <c r="A140" s="187" t="s">
        <v>313</v>
      </c>
      <c r="B140" s="360" t="s">
        <v>316</v>
      </c>
      <c r="C140" s="360"/>
      <c r="D140" s="194">
        <f>D122*D141</f>
        <v>811242.75230961782</v>
      </c>
      <c r="E140" s="194">
        <f>E122*E141</f>
        <v>855330.73506774462</v>
      </c>
      <c r="F140" s="194">
        <f>F122*F141</f>
        <v>901647.76804282609</v>
      </c>
      <c r="G140" s="194">
        <f>G122*G141</f>
        <v>950301.63447980571</v>
      </c>
      <c r="H140" s="194">
        <f>H122*H141</f>
        <v>1001405.1738028751</v>
      </c>
    </row>
    <row r="141" spans="1:8" ht="16.5" customHeight="1">
      <c r="A141" s="187"/>
      <c r="B141" s="353" t="s">
        <v>312</v>
      </c>
      <c r="C141" s="353"/>
      <c r="D141" s="189">
        <f>H110*(1+$D$15)</f>
        <v>44.407328547550335</v>
      </c>
      <c r="E141" s="189">
        <f>D141*(1+$D$15)</f>
        <v>46.183621689452352</v>
      </c>
      <c r="F141" s="189">
        <f t="shared" ref="F141" si="71">E141*(1+$D$15)</f>
        <v>48.030966557030446</v>
      </c>
      <c r="G141" s="189">
        <f t="shared" ref="G141" si="72">F141*(1+$D$15)</f>
        <v>49.952205219311665</v>
      </c>
      <c r="H141" s="189">
        <f t="shared" ref="H141" si="73">G141*(1+$D$15)</f>
        <v>51.95029342808413</v>
      </c>
    </row>
    <row r="142" spans="1:8" ht="16.5" customHeight="1">
      <c r="A142" s="187" t="s">
        <v>315</v>
      </c>
      <c r="B142" s="360" t="s">
        <v>319</v>
      </c>
      <c r="C142" s="360"/>
      <c r="D142" s="194">
        <f>D143*D144</f>
        <v>2848460.0859434479</v>
      </c>
      <c r="E142" s="194">
        <f t="shared" ref="E142:H142" si="74">E143*E144</f>
        <v>3080894.4289564332</v>
      </c>
      <c r="F142" s="194">
        <f t="shared" si="74"/>
        <v>3332295.414359278</v>
      </c>
      <c r="G142" s="194">
        <f t="shared" si="74"/>
        <v>3604210.7201709957</v>
      </c>
      <c r="H142" s="194">
        <f t="shared" si="74"/>
        <v>3898314.3149369494</v>
      </c>
    </row>
    <row r="143" spans="1:8" ht="16.5" customHeight="1">
      <c r="A143" s="187"/>
      <c r="B143" s="353" t="s">
        <v>320</v>
      </c>
      <c r="C143" s="353"/>
      <c r="D143" s="189">
        <f>H112*(1+$D$15)</f>
        <v>38.48635140787696</v>
      </c>
      <c r="E143" s="189">
        <f>D143*(1+$D$15)</f>
        <v>40.02580546419204</v>
      </c>
      <c r="F143" s="189">
        <f t="shared" ref="F143:F144" si="75">E143*(1+$D$15)</f>
        <v>41.626837682759721</v>
      </c>
      <c r="G143" s="189">
        <f t="shared" ref="G143:G144" si="76">F143*(1+$D$15)</f>
        <v>43.29191119007011</v>
      </c>
      <c r="H143" s="189">
        <f t="shared" ref="H143:H144" si="77">G143*(1+$D$15)</f>
        <v>45.023587637672918</v>
      </c>
    </row>
    <row r="144" spans="1:8" ht="16.5" customHeight="1">
      <c r="A144" s="187"/>
      <c r="B144" s="353" t="s">
        <v>312</v>
      </c>
      <c r="C144" s="353"/>
      <c r="D144" s="189">
        <f>H113*(1+$D$15)</f>
        <v>74012.214245917232</v>
      </c>
      <c r="E144" s="189">
        <f>D144*(1+$D$15)</f>
        <v>76972.702815753917</v>
      </c>
      <c r="F144" s="189">
        <f t="shared" si="75"/>
        <v>80051.610928384078</v>
      </c>
      <c r="G144" s="189">
        <f t="shared" si="76"/>
        <v>83253.675365519448</v>
      </c>
      <c r="H144" s="189">
        <f t="shared" si="77"/>
        <v>86583.822380140235</v>
      </c>
    </row>
    <row r="145" spans="1:8" ht="16.5" customHeight="1">
      <c r="A145" s="186"/>
      <c r="B145" s="354" t="s">
        <v>301</v>
      </c>
      <c r="C145" s="354"/>
      <c r="D145" s="201">
        <f>D138+D140+D142</f>
        <v>7715916.5998011548</v>
      </c>
      <c r="E145" s="201">
        <f t="shared" ref="E145:H145" si="78">E138+E140+E142</f>
        <v>8212878.8393629007</v>
      </c>
      <c r="F145" s="201">
        <f t="shared" si="78"/>
        <v>8742182.0226162337</v>
      </c>
      <c r="G145" s="201">
        <f t="shared" si="78"/>
        <v>9306020.5270498283</v>
      </c>
      <c r="H145" s="201">
        <f t="shared" si="78"/>
        <v>9906745.3577541988</v>
      </c>
    </row>
    <row r="146" spans="1:8" ht="16.5" customHeight="1">
      <c r="A146" s="202"/>
      <c r="B146" s="355" t="s">
        <v>317</v>
      </c>
      <c r="C146" s="355"/>
      <c r="D146" s="203">
        <f>D130+D136+D145</f>
        <v>22014214.259378023</v>
      </c>
      <c r="E146" s="203">
        <f>E130+E136+E145</f>
        <v>23320481.870370775</v>
      </c>
      <c r="F146" s="203">
        <f>F130+F136+F145</f>
        <v>24703005.188350134</v>
      </c>
      <c r="G146" s="203">
        <f>G130+G136+G145</f>
        <v>26166363.968236689</v>
      </c>
      <c r="H146" s="203">
        <f>H130+H136+H145</f>
        <v>27715428.793259107</v>
      </c>
    </row>
    <row r="147" spans="1:8" ht="16.5" customHeight="1">
      <c r="A147" s="181"/>
      <c r="B147" s="232"/>
      <c r="C147" s="232"/>
      <c r="D147" s="232"/>
      <c r="E147" s="232"/>
      <c r="F147" s="232"/>
      <c r="G147" s="232"/>
      <c r="H147" s="232"/>
    </row>
    <row r="148" spans="1:8" ht="18" customHeight="1">
      <c r="A148" s="314" t="s">
        <v>168</v>
      </c>
      <c r="B148" s="314"/>
      <c r="C148" s="314"/>
      <c r="D148" s="314"/>
      <c r="E148" s="314"/>
      <c r="F148" s="314"/>
      <c r="G148" s="314"/>
      <c r="H148" s="314"/>
    </row>
    <row r="149" spans="1:8" ht="51" customHeight="1">
      <c r="A149" s="342" t="s">
        <v>329</v>
      </c>
      <c r="B149" s="342"/>
      <c r="C149" s="342"/>
      <c r="D149" s="342"/>
      <c r="E149" s="342"/>
      <c r="F149" s="342"/>
      <c r="G149" s="342"/>
      <c r="H149" s="342"/>
    </row>
    <row r="150" spans="1:8" ht="18" customHeight="1">
      <c r="A150" s="120" t="s">
        <v>236</v>
      </c>
    </row>
    <row r="151" spans="1:8" ht="18" customHeight="1">
      <c r="A151" s="130" t="s">
        <v>64</v>
      </c>
    </row>
    <row r="152" spans="1:8" ht="18" customHeight="1">
      <c r="A152" s="130" t="s">
        <v>65</v>
      </c>
      <c r="C152" s="31">
        <v>0.1</v>
      </c>
      <c r="D152" s="130" t="s">
        <v>340</v>
      </c>
    </row>
    <row r="153" spans="1:8" ht="18" customHeight="1">
      <c r="A153" s="130" t="s">
        <v>69</v>
      </c>
      <c r="C153" s="31">
        <v>0.215</v>
      </c>
      <c r="D153" s="130" t="s">
        <v>68</v>
      </c>
    </row>
    <row r="154" spans="1:8" ht="18" customHeight="1">
      <c r="A154" s="130" t="s">
        <v>71</v>
      </c>
      <c r="C154" s="119">
        <v>13</v>
      </c>
      <c r="D154" s="130" t="s">
        <v>70</v>
      </c>
    </row>
    <row r="155" spans="1:8" ht="18" customHeight="1">
      <c r="A155" s="130" t="s">
        <v>73</v>
      </c>
      <c r="C155" s="31">
        <v>0.03</v>
      </c>
      <c r="D155" s="130" t="s">
        <v>72</v>
      </c>
    </row>
    <row r="156" spans="1:8" ht="21.75" customHeight="1">
      <c r="A156" s="120" t="s">
        <v>96</v>
      </c>
      <c r="B156" s="120"/>
    </row>
    <row r="157" spans="1:8" ht="16.5" customHeight="1">
      <c r="A157" s="120"/>
      <c r="B157" s="120"/>
      <c r="G157" s="82" t="s">
        <v>60</v>
      </c>
      <c r="H157" s="30" t="s">
        <v>61</v>
      </c>
    </row>
    <row r="158" spans="1:8" ht="54" customHeight="1">
      <c r="A158" s="132" t="s">
        <v>1</v>
      </c>
      <c r="B158" s="132" t="s">
        <v>75</v>
      </c>
      <c r="C158" s="132" t="s">
        <v>74</v>
      </c>
      <c r="D158" s="132" t="s">
        <v>76</v>
      </c>
      <c r="E158" s="132" t="s">
        <v>77</v>
      </c>
      <c r="F158" s="33" t="s">
        <v>499</v>
      </c>
      <c r="G158" s="34" t="s">
        <v>79</v>
      </c>
      <c r="H158" s="35" t="s">
        <v>80</v>
      </c>
    </row>
    <row r="159" spans="1:8" ht="17.100000000000001" customHeight="1">
      <c r="A159" s="124">
        <v>1</v>
      </c>
      <c r="B159" s="125" t="s">
        <v>337</v>
      </c>
      <c r="C159" s="124">
        <v>1</v>
      </c>
      <c r="D159" s="122">
        <v>20000</v>
      </c>
      <c r="E159" s="122">
        <f>D159*$C$152</f>
        <v>2000</v>
      </c>
      <c r="F159" s="122">
        <f>D159+E159</f>
        <v>22000</v>
      </c>
      <c r="G159" s="122">
        <f>F159*$C$154*C159</f>
        <v>286000</v>
      </c>
      <c r="H159" s="122">
        <f>D159*12*$C$153*C159</f>
        <v>51600</v>
      </c>
    </row>
    <row r="160" spans="1:8" ht="17.100000000000001" customHeight="1">
      <c r="A160" s="124">
        <v>2</v>
      </c>
      <c r="B160" s="125" t="s">
        <v>330</v>
      </c>
      <c r="C160" s="124">
        <v>1</v>
      </c>
      <c r="D160" s="122">
        <v>12000</v>
      </c>
      <c r="E160" s="122">
        <f t="shared" ref="E160:E171" si="79">D160*$C$152</f>
        <v>1200</v>
      </c>
      <c r="F160" s="122">
        <f t="shared" ref="F160:F171" si="80">D160+E160</f>
        <v>13200</v>
      </c>
      <c r="G160" s="122">
        <f t="shared" ref="G160:G171" si="81">F160*$C$154*C160</f>
        <v>171600</v>
      </c>
      <c r="H160" s="122">
        <f t="shared" ref="H160:H171" si="82">D160*12*$C$153*C160</f>
        <v>30960</v>
      </c>
    </row>
    <row r="161" spans="1:8" ht="17.100000000000001" customHeight="1">
      <c r="A161" s="124">
        <v>3</v>
      </c>
      <c r="B161" s="125" t="s">
        <v>331</v>
      </c>
      <c r="C161" s="124">
        <v>5</v>
      </c>
      <c r="D161" s="122">
        <v>6000</v>
      </c>
      <c r="E161" s="122">
        <f t="shared" si="79"/>
        <v>600</v>
      </c>
      <c r="F161" s="122">
        <f t="shared" si="80"/>
        <v>6600</v>
      </c>
      <c r="G161" s="122">
        <f t="shared" si="81"/>
        <v>429000</v>
      </c>
      <c r="H161" s="122">
        <f t="shared" si="82"/>
        <v>77400</v>
      </c>
    </row>
    <row r="162" spans="1:8" ht="17.100000000000001" customHeight="1">
      <c r="A162" s="176">
        <v>4</v>
      </c>
      <c r="B162" s="125" t="s">
        <v>83</v>
      </c>
      <c r="C162" s="124">
        <v>2</v>
      </c>
      <c r="D162" s="122">
        <v>7000</v>
      </c>
      <c r="E162" s="122">
        <f t="shared" si="79"/>
        <v>700</v>
      </c>
      <c r="F162" s="122">
        <f t="shared" si="80"/>
        <v>7700</v>
      </c>
      <c r="G162" s="122">
        <f t="shared" si="81"/>
        <v>200200</v>
      </c>
      <c r="H162" s="122">
        <f t="shared" si="82"/>
        <v>36120</v>
      </c>
    </row>
    <row r="163" spans="1:8" ht="17.100000000000001" customHeight="1">
      <c r="A163" s="176">
        <v>5</v>
      </c>
      <c r="B163" s="226" t="s">
        <v>84</v>
      </c>
      <c r="C163" s="176">
        <v>1</v>
      </c>
      <c r="D163" s="122">
        <v>5000</v>
      </c>
      <c r="E163" s="122">
        <f t="shared" si="79"/>
        <v>500</v>
      </c>
      <c r="F163" s="122">
        <f t="shared" si="80"/>
        <v>5500</v>
      </c>
      <c r="G163" s="122">
        <f t="shared" si="81"/>
        <v>71500</v>
      </c>
      <c r="H163" s="122">
        <f t="shared" si="82"/>
        <v>12900</v>
      </c>
    </row>
    <row r="164" spans="1:8" ht="17.100000000000001" customHeight="1">
      <c r="A164" s="176">
        <v>5</v>
      </c>
      <c r="B164" s="125" t="s">
        <v>338</v>
      </c>
      <c r="C164" s="124">
        <v>12</v>
      </c>
      <c r="D164" s="122">
        <v>5000</v>
      </c>
      <c r="E164" s="122">
        <f t="shared" si="79"/>
        <v>500</v>
      </c>
      <c r="F164" s="122">
        <f t="shared" si="80"/>
        <v>5500</v>
      </c>
      <c r="G164" s="122">
        <f t="shared" si="81"/>
        <v>858000</v>
      </c>
      <c r="H164" s="122">
        <f t="shared" si="82"/>
        <v>154800</v>
      </c>
    </row>
    <row r="165" spans="1:8" ht="17.100000000000001" customHeight="1">
      <c r="A165" s="176">
        <v>6</v>
      </c>
      <c r="B165" s="125" t="s">
        <v>332</v>
      </c>
      <c r="C165" s="124">
        <v>4</v>
      </c>
      <c r="D165" s="122">
        <v>5000</v>
      </c>
      <c r="E165" s="122">
        <f t="shared" si="79"/>
        <v>500</v>
      </c>
      <c r="F165" s="122">
        <f t="shared" si="80"/>
        <v>5500</v>
      </c>
      <c r="G165" s="122">
        <f t="shared" si="81"/>
        <v>286000</v>
      </c>
      <c r="H165" s="122">
        <f t="shared" si="82"/>
        <v>51600</v>
      </c>
    </row>
    <row r="166" spans="1:8" ht="17.100000000000001" customHeight="1">
      <c r="A166" s="176">
        <v>7</v>
      </c>
      <c r="B166" s="125" t="s">
        <v>333</v>
      </c>
      <c r="C166" s="124">
        <v>1</v>
      </c>
      <c r="D166" s="122">
        <v>12000</v>
      </c>
      <c r="E166" s="122">
        <f t="shared" si="79"/>
        <v>1200</v>
      </c>
      <c r="F166" s="122">
        <f t="shared" si="80"/>
        <v>13200</v>
      </c>
      <c r="G166" s="122">
        <f t="shared" si="81"/>
        <v>171600</v>
      </c>
      <c r="H166" s="122">
        <f t="shared" si="82"/>
        <v>30960</v>
      </c>
    </row>
    <row r="167" spans="1:8" ht="17.100000000000001" customHeight="1">
      <c r="A167" s="124"/>
      <c r="B167" s="125" t="s">
        <v>334</v>
      </c>
      <c r="C167" s="124">
        <v>5</v>
      </c>
      <c r="D167" s="122">
        <v>6000</v>
      </c>
      <c r="E167" s="122">
        <f t="shared" si="79"/>
        <v>600</v>
      </c>
      <c r="F167" s="122">
        <f t="shared" si="80"/>
        <v>6600</v>
      </c>
      <c r="G167" s="122">
        <f t="shared" si="81"/>
        <v>429000</v>
      </c>
      <c r="H167" s="122">
        <f t="shared" si="82"/>
        <v>77400</v>
      </c>
    </row>
    <row r="168" spans="1:8" ht="17.100000000000001" customHeight="1">
      <c r="A168" s="124">
        <v>8</v>
      </c>
      <c r="B168" s="125" t="s">
        <v>339</v>
      </c>
      <c r="C168" s="124">
        <v>6</v>
      </c>
      <c r="D168" s="122">
        <v>5000</v>
      </c>
      <c r="E168" s="122">
        <f t="shared" si="79"/>
        <v>500</v>
      </c>
      <c r="F168" s="122">
        <f t="shared" si="80"/>
        <v>5500</v>
      </c>
      <c r="G168" s="122">
        <f t="shared" si="81"/>
        <v>429000</v>
      </c>
      <c r="H168" s="122">
        <f t="shared" si="82"/>
        <v>77400</v>
      </c>
    </row>
    <row r="169" spans="1:8" ht="17.100000000000001" customHeight="1">
      <c r="A169" s="124">
        <v>9</v>
      </c>
      <c r="B169" s="125" t="s">
        <v>231</v>
      </c>
      <c r="C169" s="124">
        <v>6</v>
      </c>
      <c r="D169" s="122">
        <v>5000</v>
      </c>
      <c r="E169" s="122">
        <f t="shared" si="79"/>
        <v>500</v>
      </c>
      <c r="F169" s="122">
        <f t="shared" si="80"/>
        <v>5500</v>
      </c>
      <c r="G169" s="122">
        <f t="shared" si="81"/>
        <v>429000</v>
      </c>
      <c r="H169" s="122">
        <f t="shared" si="82"/>
        <v>77400</v>
      </c>
    </row>
    <row r="170" spans="1:8" ht="17.100000000000001" customHeight="1">
      <c r="A170" s="124">
        <v>10</v>
      </c>
      <c r="B170" s="125" t="s">
        <v>335</v>
      </c>
      <c r="C170" s="124">
        <v>1</v>
      </c>
      <c r="D170" s="122">
        <v>7000</v>
      </c>
      <c r="E170" s="122">
        <f t="shared" si="79"/>
        <v>700</v>
      </c>
      <c r="F170" s="122">
        <f t="shared" si="80"/>
        <v>7700</v>
      </c>
      <c r="G170" s="122">
        <f t="shared" si="81"/>
        <v>100100</v>
      </c>
      <c r="H170" s="122">
        <f t="shared" si="82"/>
        <v>18060</v>
      </c>
    </row>
    <row r="171" spans="1:8" ht="17.100000000000001" customHeight="1">
      <c r="A171" s="124"/>
      <c r="B171" s="125" t="s">
        <v>336</v>
      </c>
      <c r="C171" s="124">
        <v>2</v>
      </c>
      <c r="D171" s="122">
        <v>5000</v>
      </c>
      <c r="E171" s="122">
        <f t="shared" si="79"/>
        <v>500</v>
      </c>
      <c r="F171" s="122">
        <f t="shared" si="80"/>
        <v>5500</v>
      </c>
      <c r="G171" s="122">
        <f t="shared" si="81"/>
        <v>143000</v>
      </c>
      <c r="H171" s="122">
        <f t="shared" si="82"/>
        <v>25800</v>
      </c>
    </row>
    <row r="172" spans="1:8" ht="17.100000000000001" customHeight="1">
      <c r="A172" s="124"/>
      <c r="B172" s="118" t="s">
        <v>89</v>
      </c>
      <c r="C172" s="39">
        <f t="shared" ref="C172:H172" si="83">SUM(C159:C171)</f>
        <v>47</v>
      </c>
      <c r="D172" s="38">
        <f t="shared" si="83"/>
        <v>100000</v>
      </c>
      <c r="E172" s="38">
        <f t="shared" si="83"/>
        <v>10000</v>
      </c>
      <c r="F172" s="38">
        <f t="shared" si="83"/>
        <v>110000</v>
      </c>
      <c r="G172" s="38">
        <f t="shared" si="83"/>
        <v>4004000</v>
      </c>
      <c r="H172" s="38">
        <f t="shared" si="83"/>
        <v>722400</v>
      </c>
    </row>
    <row r="174" spans="1:8" ht="18.75" customHeight="1">
      <c r="A174" s="120" t="s">
        <v>97</v>
      </c>
    </row>
    <row r="175" spans="1:8" ht="16.5" customHeight="1">
      <c r="A175" s="120"/>
      <c r="G175" s="82" t="s">
        <v>60</v>
      </c>
      <c r="H175" s="30" t="s">
        <v>61</v>
      </c>
    </row>
    <row r="176" spans="1:8" ht="17.100000000000001" customHeight="1">
      <c r="A176" s="118" t="s">
        <v>1</v>
      </c>
      <c r="B176" s="316" t="s">
        <v>90</v>
      </c>
      <c r="C176" s="316"/>
      <c r="D176" s="118" t="s">
        <v>33</v>
      </c>
      <c r="E176" s="118" t="s">
        <v>34</v>
      </c>
      <c r="F176" s="118" t="s">
        <v>35</v>
      </c>
      <c r="G176" s="118" t="s">
        <v>36</v>
      </c>
      <c r="H176" s="12" t="s">
        <v>37</v>
      </c>
    </row>
    <row r="177" spans="1:8" ht="17.100000000000001" customHeight="1">
      <c r="A177" s="124">
        <v>1</v>
      </c>
      <c r="B177" s="317" t="s">
        <v>91</v>
      </c>
      <c r="C177" s="317"/>
      <c r="D177" s="144">
        <v>0</v>
      </c>
      <c r="E177" s="144">
        <f>C155</f>
        <v>0.03</v>
      </c>
      <c r="F177" s="144">
        <f>E177</f>
        <v>0.03</v>
      </c>
      <c r="G177" s="144">
        <f t="shared" ref="G177:H177" si="84">F177</f>
        <v>0.03</v>
      </c>
      <c r="H177" s="144">
        <f t="shared" si="84"/>
        <v>0.03</v>
      </c>
    </row>
    <row r="178" spans="1:8" ht="17.100000000000001" customHeight="1">
      <c r="A178" s="124">
        <v>2</v>
      </c>
      <c r="B178" s="317" t="s">
        <v>92</v>
      </c>
      <c r="C178" s="317"/>
      <c r="D178" s="158">
        <f>G172</f>
        <v>4004000</v>
      </c>
      <c r="E178" s="159">
        <f>D178*(1+E177)</f>
        <v>4124120</v>
      </c>
      <c r="F178" s="159">
        <f t="shared" ref="F178:H178" si="85">E178*(1+F177)</f>
        <v>4247843.6000000006</v>
      </c>
      <c r="G178" s="159">
        <f t="shared" si="85"/>
        <v>4375278.9080000008</v>
      </c>
      <c r="H178" s="159">
        <f t="shared" si="85"/>
        <v>4506537.2752400013</v>
      </c>
    </row>
    <row r="179" spans="1:8" ht="17.100000000000001" customHeight="1">
      <c r="A179" s="124">
        <v>3</v>
      </c>
      <c r="B179" s="317" t="s">
        <v>93</v>
      </c>
      <c r="C179" s="317"/>
      <c r="D179" s="158">
        <f>H172</f>
        <v>722400</v>
      </c>
      <c r="E179" s="159">
        <f>D179*(1+E177)</f>
        <v>744072</v>
      </c>
      <c r="F179" s="159">
        <f t="shared" ref="F179:H179" si="86">E179*(1+F177)</f>
        <v>766394.16</v>
      </c>
      <c r="G179" s="159">
        <f t="shared" si="86"/>
        <v>789385.98480000009</v>
      </c>
      <c r="H179" s="159">
        <f t="shared" si="86"/>
        <v>813067.56434400007</v>
      </c>
    </row>
    <row r="180" spans="1:8" ht="17.100000000000001" customHeight="1">
      <c r="A180" s="104"/>
      <c r="B180" s="162"/>
      <c r="C180" s="162"/>
      <c r="D180" s="156"/>
      <c r="E180" s="157"/>
      <c r="F180" s="157"/>
      <c r="G180" s="157"/>
      <c r="H180" s="157"/>
    </row>
    <row r="181" spans="1:8" ht="17.100000000000001" customHeight="1">
      <c r="A181" s="118" t="s">
        <v>1</v>
      </c>
      <c r="B181" s="316" t="s">
        <v>90</v>
      </c>
      <c r="C181" s="316"/>
      <c r="D181" s="118" t="s">
        <v>50</v>
      </c>
      <c r="E181" s="118" t="s">
        <v>51</v>
      </c>
      <c r="F181" s="118" t="s">
        <v>52</v>
      </c>
      <c r="G181" s="118" t="s">
        <v>53</v>
      </c>
      <c r="H181" s="118" t="s">
        <v>54</v>
      </c>
    </row>
    <row r="182" spans="1:8" ht="17.100000000000001" customHeight="1">
      <c r="A182" s="124">
        <v>1</v>
      </c>
      <c r="B182" s="317" t="s">
        <v>91</v>
      </c>
      <c r="C182" s="317"/>
      <c r="D182" s="144">
        <f>H177</f>
        <v>0.03</v>
      </c>
      <c r="E182" s="144">
        <f>D182</f>
        <v>0.03</v>
      </c>
      <c r="F182" s="144">
        <f t="shared" ref="F182:H182" si="87">E182</f>
        <v>0.03</v>
      </c>
      <c r="G182" s="144">
        <f t="shared" si="87"/>
        <v>0.03</v>
      </c>
      <c r="H182" s="144">
        <f t="shared" si="87"/>
        <v>0.03</v>
      </c>
    </row>
    <row r="183" spans="1:8" ht="17.100000000000001" customHeight="1">
      <c r="A183" s="124">
        <v>2</v>
      </c>
      <c r="B183" s="317" t="s">
        <v>92</v>
      </c>
      <c r="C183" s="317"/>
      <c r="D183" s="159">
        <f>H178*(1+D182)</f>
        <v>4641733.3934972016</v>
      </c>
      <c r="E183" s="159">
        <f>D183*(1+E182)</f>
        <v>4780985.3953021178</v>
      </c>
      <c r="F183" s="159">
        <f t="shared" ref="F183:H183" si="88">E183*(1+F182)</f>
        <v>4924414.9571611816</v>
      </c>
      <c r="G183" s="159">
        <f t="shared" si="88"/>
        <v>5072147.4058760172</v>
      </c>
      <c r="H183" s="159">
        <f t="shared" si="88"/>
        <v>5224311.8280522982</v>
      </c>
    </row>
    <row r="184" spans="1:8" ht="17.100000000000001" customHeight="1">
      <c r="A184" s="124">
        <v>3</v>
      </c>
      <c r="B184" s="317" t="s">
        <v>93</v>
      </c>
      <c r="C184" s="317"/>
      <c r="D184" s="159">
        <f>H179*(1+D182)</f>
        <v>837459.59127432015</v>
      </c>
      <c r="E184" s="159">
        <f>D184*(1+E182)</f>
        <v>862583.37901254976</v>
      </c>
      <c r="F184" s="159">
        <f t="shared" ref="F184:H184" si="89">E184*(1+F182)</f>
        <v>888460.88038292632</v>
      </c>
      <c r="G184" s="159">
        <f t="shared" si="89"/>
        <v>915114.70679441409</v>
      </c>
      <c r="H184" s="159">
        <f t="shared" si="89"/>
        <v>942568.14799824648</v>
      </c>
    </row>
    <row r="185" spans="1:8" ht="17.100000000000001" customHeight="1">
      <c r="A185" s="104"/>
      <c r="B185" s="162"/>
      <c r="C185" s="162"/>
      <c r="D185" s="156"/>
      <c r="E185" s="157"/>
      <c r="F185" s="157"/>
      <c r="G185" s="157"/>
      <c r="H185" s="157"/>
    </row>
    <row r="186" spans="1:8" ht="17.100000000000001" customHeight="1">
      <c r="A186" s="221" t="s">
        <v>1</v>
      </c>
      <c r="B186" s="316" t="s">
        <v>90</v>
      </c>
      <c r="C186" s="316"/>
      <c r="D186" s="221" t="s">
        <v>55</v>
      </c>
      <c r="E186" s="221" t="s">
        <v>56</v>
      </c>
      <c r="F186" s="221" t="s">
        <v>57</v>
      </c>
      <c r="G186" s="221" t="s">
        <v>58</v>
      </c>
      <c r="H186" s="221" t="s">
        <v>59</v>
      </c>
    </row>
    <row r="187" spans="1:8" ht="17.100000000000001" customHeight="1">
      <c r="A187" s="176">
        <v>1</v>
      </c>
      <c r="B187" s="317" t="s">
        <v>91</v>
      </c>
      <c r="C187" s="317"/>
      <c r="D187" s="144">
        <f>H182</f>
        <v>0.03</v>
      </c>
      <c r="E187" s="144">
        <f>D187</f>
        <v>0.03</v>
      </c>
      <c r="F187" s="144">
        <f t="shared" ref="F187:H187" si="90">E187</f>
        <v>0.03</v>
      </c>
      <c r="G187" s="144">
        <f t="shared" si="90"/>
        <v>0.03</v>
      </c>
      <c r="H187" s="144">
        <f t="shared" si="90"/>
        <v>0.03</v>
      </c>
    </row>
    <row r="188" spans="1:8" ht="17.100000000000001" customHeight="1">
      <c r="A188" s="176">
        <v>2</v>
      </c>
      <c r="B188" s="317" t="s">
        <v>92</v>
      </c>
      <c r="C188" s="317"/>
      <c r="D188" s="159">
        <f>H183*(1+D187)</f>
        <v>5381041.1828938676</v>
      </c>
      <c r="E188" s="159">
        <f>D188*(1+E187)</f>
        <v>5542472.4183806842</v>
      </c>
      <c r="F188" s="159">
        <f t="shared" ref="F188" si="91">E188*(1+F187)</f>
        <v>5708746.5909321047</v>
      </c>
      <c r="G188" s="159">
        <f t="shared" ref="G188" si="92">F188*(1+G187)</f>
        <v>5880008.9886600683</v>
      </c>
      <c r="H188" s="159">
        <f t="shared" ref="H188" si="93">G188*(1+H187)</f>
        <v>6056409.2583198706</v>
      </c>
    </row>
    <row r="189" spans="1:8" ht="17.100000000000001" customHeight="1">
      <c r="A189" s="176">
        <v>3</v>
      </c>
      <c r="B189" s="317" t="s">
        <v>93</v>
      </c>
      <c r="C189" s="317"/>
      <c r="D189" s="159">
        <f>H184*(1+D187)</f>
        <v>970845.19243819395</v>
      </c>
      <c r="E189" s="159">
        <f>D189*(1+E187)</f>
        <v>999970.54821133974</v>
      </c>
      <c r="F189" s="159">
        <f t="shared" ref="F189:H189" si="94">E189*(1+F187)</f>
        <v>1029969.66465768</v>
      </c>
      <c r="G189" s="159">
        <f t="shared" si="94"/>
        <v>1060868.7545974103</v>
      </c>
      <c r="H189" s="159">
        <f t="shared" si="94"/>
        <v>1092694.8172353327</v>
      </c>
    </row>
    <row r="190" spans="1:8" ht="17.100000000000001" customHeight="1">
      <c r="A190" s="104"/>
      <c r="B190" s="233"/>
      <c r="C190" s="233"/>
      <c r="D190" s="156"/>
      <c r="E190" s="157"/>
      <c r="F190" s="157"/>
      <c r="G190" s="157"/>
      <c r="H190" s="157"/>
    </row>
    <row r="191" spans="1:8">
      <c r="A191" s="120" t="s">
        <v>237</v>
      </c>
    </row>
    <row r="192" spans="1:8" ht="34.5" customHeight="1">
      <c r="A192" s="318" t="s">
        <v>341</v>
      </c>
      <c r="B192" s="318"/>
      <c r="C192" s="318"/>
      <c r="D192" s="5">
        <v>0.06</v>
      </c>
      <c r="E192" s="308" t="s">
        <v>342</v>
      </c>
      <c r="F192" s="308"/>
      <c r="G192" s="308"/>
      <c r="H192" s="308"/>
    </row>
    <row r="193" spans="1:9" ht="34.5" customHeight="1">
      <c r="A193" s="318" t="s">
        <v>343</v>
      </c>
      <c r="B193" s="318"/>
      <c r="C193" s="318"/>
      <c r="D193" s="5">
        <v>0.02</v>
      </c>
      <c r="E193" s="308" t="s">
        <v>342</v>
      </c>
      <c r="F193" s="308"/>
      <c r="G193" s="308"/>
      <c r="H193" s="308"/>
    </row>
    <row r="194" spans="1:9" ht="18" customHeight="1">
      <c r="A194" s="318" t="s">
        <v>344</v>
      </c>
      <c r="B194" s="318"/>
      <c r="C194" s="318"/>
      <c r="D194" s="5">
        <v>0.01</v>
      </c>
      <c r="E194" s="308" t="s">
        <v>342</v>
      </c>
      <c r="F194" s="308"/>
      <c r="G194" s="308"/>
      <c r="H194" s="308"/>
    </row>
    <row r="195" spans="1:9" ht="33" customHeight="1">
      <c r="A195" s="350" t="s">
        <v>345</v>
      </c>
      <c r="B195" s="350"/>
      <c r="C195" s="350"/>
      <c r="D195" s="161">
        <v>0.35</v>
      </c>
      <c r="E195" s="351" t="s">
        <v>239</v>
      </c>
      <c r="F195" s="351"/>
      <c r="G195" s="351"/>
      <c r="H195" s="351"/>
    </row>
    <row r="196" spans="1:9" ht="35.25" customHeight="1">
      <c r="A196" s="350" t="s">
        <v>350</v>
      </c>
      <c r="B196" s="350"/>
      <c r="C196" s="350"/>
      <c r="D196" s="161">
        <v>0.3</v>
      </c>
      <c r="E196" s="351" t="s">
        <v>352</v>
      </c>
      <c r="F196" s="351"/>
      <c r="G196" s="351"/>
      <c r="H196" s="351"/>
    </row>
    <row r="197" spans="1:9" ht="17.100000000000001" customHeight="1">
      <c r="A197" s="318" t="s">
        <v>248</v>
      </c>
      <c r="B197" s="318"/>
      <c r="C197" s="318"/>
      <c r="D197" s="160">
        <v>0.01</v>
      </c>
      <c r="E197" s="308" t="s">
        <v>342</v>
      </c>
      <c r="F197" s="308"/>
      <c r="G197" s="308"/>
      <c r="H197" s="308"/>
    </row>
    <row r="198" spans="1:9" ht="17.100000000000001" customHeight="1">
      <c r="A198" s="104"/>
      <c r="B198" s="162"/>
      <c r="C198" s="162"/>
      <c r="D198" s="156"/>
      <c r="E198" s="157"/>
      <c r="F198" s="157"/>
      <c r="G198" s="157"/>
      <c r="H198" s="157"/>
    </row>
    <row r="199" spans="1:9" ht="17.100000000000001" customHeight="1">
      <c r="A199" s="331" t="s">
        <v>249</v>
      </c>
      <c r="B199" s="331"/>
      <c r="C199" s="331"/>
      <c r="D199" s="331"/>
      <c r="E199" s="331"/>
      <c r="F199" s="331"/>
      <c r="G199" s="331"/>
      <c r="H199" s="331"/>
    </row>
    <row r="200" spans="1:9" ht="17.100000000000001" customHeight="1">
      <c r="A200" s="104"/>
      <c r="B200" s="162"/>
      <c r="C200" s="162"/>
      <c r="D200" s="156"/>
      <c r="E200" s="157"/>
      <c r="F200" s="157"/>
      <c r="G200" s="82" t="s">
        <v>60</v>
      </c>
      <c r="H200" s="30" t="s">
        <v>61</v>
      </c>
    </row>
    <row r="201" spans="1:9" ht="18" customHeight="1">
      <c r="A201" s="319" t="s">
        <v>1</v>
      </c>
      <c r="B201" s="346" t="s">
        <v>94</v>
      </c>
      <c r="C201" s="347"/>
      <c r="D201" s="163" t="s">
        <v>33</v>
      </c>
      <c r="E201" s="164" t="s">
        <v>34</v>
      </c>
      <c r="F201" s="163" t="s">
        <v>35</v>
      </c>
      <c r="G201" s="164" t="s">
        <v>36</v>
      </c>
      <c r="H201" s="163" t="s">
        <v>37</v>
      </c>
    </row>
    <row r="202" spans="1:9" ht="18" customHeight="1">
      <c r="A202" s="319"/>
      <c r="B202" s="348"/>
      <c r="C202" s="349"/>
      <c r="D202" s="165">
        <v>1</v>
      </c>
      <c r="E202" s="166">
        <v>2</v>
      </c>
      <c r="F202" s="166">
        <v>3</v>
      </c>
      <c r="G202" s="166">
        <v>4</v>
      </c>
      <c r="H202" s="166">
        <v>5</v>
      </c>
    </row>
    <row r="203" spans="1:9" ht="18" customHeight="1">
      <c r="A203" s="124">
        <v>1</v>
      </c>
      <c r="B203" s="317" t="s">
        <v>250</v>
      </c>
      <c r="C203" s="317"/>
      <c r="D203" s="143">
        <f>D178</f>
        <v>4004000</v>
      </c>
      <c r="E203" s="143">
        <f t="shared" ref="E203:H204" si="95">E178</f>
        <v>4124120</v>
      </c>
      <c r="F203" s="143">
        <f t="shared" si="95"/>
        <v>4247843.6000000006</v>
      </c>
      <c r="G203" s="143">
        <f t="shared" si="95"/>
        <v>4375278.9080000008</v>
      </c>
      <c r="H203" s="143">
        <f t="shared" si="95"/>
        <v>4506537.2752400013</v>
      </c>
    </row>
    <row r="204" spans="1:9" ht="18" customHeight="1">
      <c r="A204" s="124">
        <v>2</v>
      </c>
      <c r="B204" s="317" t="s">
        <v>251</v>
      </c>
      <c r="C204" s="317"/>
      <c r="D204" s="143">
        <f>D179</f>
        <v>722400</v>
      </c>
      <c r="E204" s="143">
        <f t="shared" si="95"/>
        <v>744072</v>
      </c>
      <c r="F204" s="143">
        <f t="shared" si="95"/>
        <v>766394.16</v>
      </c>
      <c r="G204" s="143">
        <f t="shared" si="95"/>
        <v>789385.98480000009</v>
      </c>
      <c r="H204" s="143">
        <f t="shared" si="95"/>
        <v>813067.56434400007</v>
      </c>
    </row>
    <row r="205" spans="1:9" ht="18" customHeight="1">
      <c r="A205" s="124">
        <v>3</v>
      </c>
      <c r="B205" s="317" t="s">
        <v>346</v>
      </c>
      <c r="C205" s="317"/>
      <c r="D205" s="143">
        <f>$D$192*D84</f>
        <v>613140</v>
      </c>
      <c r="E205" s="143">
        <f t="shared" ref="E205:H205" si="96">$D$192*E84</f>
        <v>663172.22399999993</v>
      </c>
      <c r="F205" s="143">
        <f t="shared" si="96"/>
        <v>717287.0774784002</v>
      </c>
      <c r="G205" s="143">
        <f t="shared" si="96"/>
        <v>775817.70300063747</v>
      </c>
      <c r="H205" s="143">
        <f t="shared" si="96"/>
        <v>839124.42756548966</v>
      </c>
      <c r="I205" s="138"/>
    </row>
    <row r="206" spans="1:9" ht="18" customHeight="1">
      <c r="A206" s="124">
        <v>4</v>
      </c>
      <c r="B206" s="317" t="s">
        <v>347</v>
      </c>
      <c r="C206" s="317"/>
      <c r="D206" s="143">
        <f>$D$193*D84</f>
        <v>204380</v>
      </c>
      <c r="E206" s="143">
        <f t="shared" ref="E206:H206" si="97">$D$193*E84</f>
        <v>221057.40799999997</v>
      </c>
      <c r="F206" s="143">
        <f t="shared" si="97"/>
        <v>239095.69249280007</v>
      </c>
      <c r="G206" s="143">
        <f t="shared" si="97"/>
        <v>258605.9010002125</v>
      </c>
      <c r="H206" s="143">
        <f t="shared" si="97"/>
        <v>279708.14252182993</v>
      </c>
    </row>
    <row r="207" spans="1:9" ht="18" customHeight="1">
      <c r="A207" s="124">
        <v>5</v>
      </c>
      <c r="B207" s="317" t="s">
        <v>348</v>
      </c>
      <c r="C207" s="317"/>
      <c r="D207" s="143">
        <f>$D$194*D84</f>
        <v>102190</v>
      </c>
      <c r="E207" s="143">
        <f t="shared" ref="E207:H207" si="98">$D$194*E84</f>
        <v>110528.70399999998</v>
      </c>
      <c r="F207" s="143">
        <f t="shared" si="98"/>
        <v>119547.84624640003</v>
      </c>
      <c r="G207" s="143">
        <f t="shared" si="98"/>
        <v>129302.95050010625</v>
      </c>
      <c r="H207" s="143">
        <f t="shared" si="98"/>
        <v>139854.07126091496</v>
      </c>
    </row>
    <row r="208" spans="1:9" ht="18" customHeight="1">
      <c r="A208" s="124">
        <v>6</v>
      </c>
      <c r="B208" s="317" t="s">
        <v>254</v>
      </c>
      <c r="C208" s="317"/>
      <c r="D208" s="143">
        <f>$D$195*D74</f>
        <v>519749.99999999994</v>
      </c>
      <c r="E208" s="143">
        <f t="shared" ref="E208:H208" si="99">$D$195*E74</f>
        <v>562161.6</v>
      </c>
      <c r="F208" s="143">
        <f t="shared" si="99"/>
        <v>608033.98655999999</v>
      </c>
      <c r="G208" s="143">
        <f t="shared" si="99"/>
        <v>657649.5598632961</v>
      </c>
      <c r="H208" s="143">
        <f t="shared" si="99"/>
        <v>711313.76394814113</v>
      </c>
    </row>
    <row r="209" spans="1:9" ht="18" customHeight="1">
      <c r="A209" s="124">
        <v>7</v>
      </c>
      <c r="B209" s="352" t="s">
        <v>349</v>
      </c>
      <c r="C209" s="352"/>
      <c r="D209" s="143">
        <f>$D$196*D107</f>
        <v>848408.32938262995</v>
      </c>
      <c r="E209" s="143">
        <f t="shared" ref="E209:H209" si="100">$D$196*E107</f>
        <v>925390.81556716922</v>
      </c>
      <c r="F209" s="143">
        <f t="shared" si="100"/>
        <v>1007174.4473194592</v>
      </c>
      <c r="G209" s="143">
        <f t="shared" si="100"/>
        <v>1094020.144307025</v>
      </c>
      <c r="H209" s="143">
        <f t="shared" si="100"/>
        <v>1153921.3060321657</v>
      </c>
    </row>
    <row r="210" spans="1:9" ht="18" customHeight="1">
      <c r="A210" s="124">
        <v>8</v>
      </c>
      <c r="B210" s="317" t="s">
        <v>258</v>
      </c>
      <c r="C210" s="317"/>
      <c r="D210" s="143">
        <f>$D$197*D84</f>
        <v>102190</v>
      </c>
      <c r="E210" s="143">
        <f t="shared" ref="E210:H210" si="101">$D$197*E84</f>
        <v>110528.70399999998</v>
      </c>
      <c r="F210" s="143">
        <f t="shared" si="101"/>
        <v>119547.84624640003</v>
      </c>
      <c r="G210" s="143">
        <f t="shared" si="101"/>
        <v>129302.95050010625</v>
      </c>
      <c r="H210" s="143">
        <f t="shared" si="101"/>
        <v>139854.07126091496</v>
      </c>
      <c r="I210" s="205"/>
    </row>
    <row r="211" spans="1:9" ht="18" customHeight="1">
      <c r="A211" s="206"/>
      <c r="B211" s="364" t="s">
        <v>259</v>
      </c>
      <c r="C211" s="364"/>
      <c r="D211" s="207">
        <f>SUM(D203:D210)</f>
        <v>7116458.3293826301</v>
      </c>
      <c r="E211" s="208">
        <f t="shared" ref="E211:H211" si="102">SUM(E203:E210)</f>
        <v>7461031.4555671681</v>
      </c>
      <c r="F211" s="208">
        <f t="shared" si="102"/>
        <v>7824924.6563434601</v>
      </c>
      <c r="G211" s="208">
        <f t="shared" si="102"/>
        <v>8209364.1019713851</v>
      </c>
      <c r="H211" s="208">
        <f t="shared" si="102"/>
        <v>8583380.6221734583</v>
      </c>
    </row>
    <row r="212" spans="1:9" ht="20.100000000000001" customHeight="1">
      <c r="A212" s="104"/>
      <c r="B212" s="330"/>
      <c r="C212" s="330"/>
      <c r="D212" s="156"/>
      <c r="E212" s="157"/>
      <c r="F212" s="157"/>
      <c r="G212" s="157"/>
      <c r="H212" s="157"/>
    </row>
    <row r="213" spans="1:9" ht="17.100000000000001" customHeight="1">
      <c r="A213" s="319" t="s">
        <v>1</v>
      </c>
      <c r="B213" s="346" t="s">
        <v>94</v>
      </c>
      <c r="C213" s="347"/>
      <c r="D213" s="163" t="s">
        <v>50</v>
      </c>
      <c r="E213" s="164" t="s">
        <v>51</v>
      </c>
      <c r="F213" s="163" t="s">
        <v>52</v>
      </c>
      <c r="G213" s="164" t="s">
        <v>53</v>
      </c>
      <c r="H213" s="163" t="s">
        <v>54</v>
      </c>
    </row>
    <row r="214" spans="1:9" ht="17.100000000000001" customHeight="1">
      <c r="A214" s="319"/>
      <c r="B214" s="348"/>
      <c r="C214" s="349"/>
      <c r="D214" s="165">
        <v>6</v>
      </c>
      <c r="E214" s="166">
        <v>7</v>
      </c>
      <c r="F214" s="165">
        <v>8</v>
      </c>
      <c r="G214" s="166">
        <v>9</v>
      </c>
      <c r="H214" s="165">
        <v>10</v>
      </c>
    </row>
    <row r="215" spans="1:9" ht="17.100000000000001" customHeight="1">
      <c r="A215" s="124">
        <v>1</v>
      </c>
      <c r="B215" s="317" t="s">
        <v>250</v>
      </c>
      <c r="C215" s="317"/>
      <c r="D215" s="143">
        <f>D183</f>
        <v>4641733.3934972016</v>
      </c>
      <c r="E215" s="143">
        <f t="shared" ref="E215:H216" si="103">E183</f>
        <v>4780985.3953021178</v>
      </c>
      <c r="F215" s="143">
        <f t="shared" si="103"/>
        <v>4924414.9571611816</v>
      </c>
      <c r="G215" s="143">
        <f t="shared" si="103"/>
        <v>5072147.4058760172</v>
      </c>
      <c r="H215" s="143">
        <f t="shared" si="103"/>
        <v>5224311.8280522982</v>
      </c>
    </row>
    <row r="216" spans="1:9" ht="17.100000000000001" customHeight="1">
      <c r="A216" s="124">
        <v>2</v>
      </c>
      <c r="B216" s="317" t="s">
        <v>251</v>
      </c>
      <c r="C216" s="317"/>
      <c r="D216" s="143">
        <f>D184</f>
        <v>837459.59127432015</v>
      </c>
      <c r="E216" s="143">
        <f t="shared" si="103"/>
        <v>862583.37901254976</v>
      </c>
      <c r="F216" s="143">
        <f t="shared" si="103"/>
        <v>888460.88038292632</v>
      </c>
      <c r="G216" s="143">
        <f t="shared" si="103"/>
        <v>915114.70679441409</v>
      </c>
      <c r="H216" s="143">
        <f t="shared" si="103"/>
        <v>942568.14799824648</v>
      </c>
    </row>
    <row r="217" spans="1:9" ht="17.100000000000001" customHeight="1">
      <c r="A217" s="124">
        <v>3</v>
      </c>
      <c r="B217" s="317" t="s">
        <v>346</v>
      </c>
      <c r="C217" s="317"/>
      <c r="D217" s="143">
        <f>$D$192*D115</f>
        <v>915674.35444091703</v>
      </c>
      <c r="E217" s="143">
        <f t="shared" ref="E217:H217" si="104">$D$192*E115</f>
        <v>997267.14673276211</v>
      </c>
      <c r="F217" s="143">
        <f t="shared" si="104"/>
        <v>1084205.0897719369</v>
      </c>
      <c r="G217" s="143">
        <f t="shared" si="104"/>
        <v>1176808.3241471779</v>
      </c>
      <c r="H217" s="143">
        <f t="shared" si="104"/>
        <v>1246793.7013129771</v>
      </c>
    </row>
    <row r="218" spans="1:9" ht="17.100000000000001" customHeight="1">
      <c r="A218" s="124">
        <v>4</v>
      </c>
      <c r="B218" s="317" t="s">
        <v>347</v>
      </c>
      <c r="C218" s="317"/>
      <c r="D218" s="143">
        <f>$D$193*D115</f>
        <v>305224.78481363907</v>
      </c>
      <c r="E218" s="143">
        <f t="shared" ref="E218:H218" si="105">$D$193*E115</f>
        <v>332422.38224425405</v>
      </c>
      <c r="F218" s="143">
        <f t="shared" si="105"/>
        <v>361401.69659064565</v>
      </c>
      <c r="G218" s="143">
        <f t="shared" si="105"/>
        <v>392269.44138239266</v>
      </c>
      <c r="H218" s="143">
        <f t="shared" si="105"/>
        <v>415597.90043765906</v>
      </c>
    </row>
    <row r="219" spans="1:9" ht="17.100000000000001" customHeight="1">
      <c r="A219" s="124">
        <v>5</v>
      </c>
      <c r="B219" s="317" t="s">
        <v>348</v>
      </c>
      <c r="C219" s="317"/>
      <c r="D219" s="143">
        <f>$D$194*D115</f>
        <v>152612.39240681953</v>
      </c>
      <c r="E219" s="143">
        <f t="shared" ref="E219:H219" si="106">$D$194*E115</f>
        <v>166211.19112212703</v>
      </c>
      <c r="F219" s="143">
        <f t="shared" si="106"/>
        <v>180700.84829532282</v>
      </c>
      <c r="G219" s="143">
        <f t="shared" si="106"/>
        <v>196134.72069119633</v>
      </c>
      <c r="H219" s="143">
        <f t="shared" si="106"/>
        <v>207798.95021882953</v>
      </c>
    </row>
    <row r="220" spans="1:9" ht="17.100000000000001" customHeight="1">
      <c r="A220" s="124">
        <v>6</v>
      </c>
      <c r="B220" s="317" t="s">
        <v>254</v>
      </c>
      <c r="C220" s="317"/>
      <c r="D220" s="143">
        <f>$D$195*D105</f>
        <v>774671.02865610109</v>
      </c>
      <c r="E220" s="143">
        <f t="shared" ref="E220:H220" si="107">$D$195*E105</f>
        <v>842406.39839014038</v>
      </c>
      <c r="F220" s="143">
        <f t="shared" si="107"/>
        <v>914805.27619994781</v>
      </c>
      <c r="G220" s="143">
        <f t="shared" si="107"/>
        <v>992171.87295487081</v>
      </c>
      <c r="H220" s="143">
        <f t="shared" si="107"/>
        <v>1056000.0832586393</v>
      </c>
    </row>
    <row r="221" spans="1:9" ht="17.100000000000001" customHeight="1">
      <c r="A221" s="124">
        <v>7</v>
      </c>
      <c r="B221" s="352" t="s">
        <v>349</v>
      </c>
      <c r="C221" s="352"/>
      <c r="D221" s="143">
        <f>$D$196*D107</f>
        <v>848408.32938262995</v>
      </c>
      <c r="E221" s="143">
        <f t="shared" ref="E221:H221" si="108">$D$196*E107</f>
        <v>925390.81556716922</v>
      </c>
      <c r="F221" s="143">
        <f t="shared" si="108"/>
        <v>1007174.4473194592</v>
      </c>
      <c r="G221" s="143">
        <f t="shared" si="108"/>
        <v>1094020.144307025</v>
      </c>
      <c r="H221" s="143">
        <f t="shared" si="108"/>
        <v>1153921.3060321657</v>
      </c>
    </row>
    <row r="222" spans="1:9" ht="17.100000000000001" customHeight="1">
      <c r="A222" s="124">
        <v>8</v>
      </c>
      <c r="B222" s="317" t="s">
        <v>258</v>
      </c>
      <c r="C222" s="317"/>
      <c r="D222" s="143">
        <f>$D$197*D115</f>
        <v>152612.39240681953</v>
      </c>
      <c r="E222" s="143">
        <f t="shared" ref="E222:H222" si="109">$D$197*E115</f>
        <v>166211.19112212703</v>
      </c>
      <c r="F222" s="143">
        <f t="shared" si="109"/>
        <v>180700.84829532282</v>
      </c>
      <c r="G222" s="143">
        <f t="shared" si="109"/>
        <v>196134.72069119633</v>
      </c>
      <c r="H222" s="143">
        <f t="shared" si="109"/>
        <v>207798.95021882953</v>
      </c>
    </row>
    <row r="223" spans="1:9" ht="20.100000000000001" customHeight="1">
      <c r="A223" s="206"/>
      <c r="B223" s="364" t="s">
        <v>259</v>
      </c>
      <c r="C223" s="364"/>
      <c r="D223" s="207">
        <f>SUM(D215:D222)</f>
        <v>8628396.2668784466</v>
      </c>
      <c r="E223" s="208">
        <f>SUM(E215:E222)</f>
        <v>9073477.8994932491</v>
      </c>
      <c r="F223" s="208">
        <f>SUM(F215:F222)</f>
        <v>9541864.0440167431</v>
      </c>
      <c r="G223" s="208">
        <f>SUM(G215:G222)</f>
        <v>10034801.33684429</v>
      </c>
      <c r="H223" s="208">
        <f>SUM(H215:H222)</f>
        <v>10454790.867529646</v>
      </c>
    </row>
    <row r="224" spans="1:9" ht="20.100000000000001" customHeight="1">
      <c r="A224" s="104"/>
      <c r="B224" s="162"/>
      <c r="C224" s="162"/>
      <c r="D224" s="156"/>
      <c r="E224" s="157"/>
      <c r="F224" s="157"/>
      <c r="G224" s="157"/>
      <c r="H224" s="157"/>
    </row>
    <row r="225" spans="1:8" ht="20.100000000000001" customHeight="1">
      <c r="A225" s="319" t="s">
        <v>1</v>
      </c>
      <c r="B225" s="346" t="s">
        <v>94</v>
      </c>
      <c r="C225" s="347"/>
      <c r="D225" s="163" t="s">
        <v>55</v>
      </c>
      <c r="E225" s="164" t="s">
        <v>56</v>
      </c>
      <c r="F225" s="163" t="s">
        <v>57</v>
      </c>
      <c r="G225" s="164" t="s">
        <v>58</v>
      </c>
      <c r="H225" s="163" t="s">
        <v>59</v>
      </c>
    </row>
    <row r="226" spans="1:8" ht="20.100000000000001" customHeight="1">
      <c r="A226" s="319"/>
      <c r="B226" s="348"/>
      <c r="C226" s="349"/>
      <c r="D226" s="165">
        <v>11</v>
      </c>
      <c r="E226" s="166">
        <v>12</v>
      </c>
      <c r="F226" s="165">
        <v>13</v>
      </c>
      <c r="G226" s="166">
        <v>14</v>
      </c>
      <c r="H226" s="165">
        <v>15</v>
      </c>
    </row>
    <row r="227" spans="1:8" ht="20.100000000000001" customHeight="1">
      <c r="A227" s="176">
        <v>1</v>
      </c>
      <c r="B227" s="317" t="s">
        <v>250</v>
      </c>
      <c r="C227" s="317"/>
      <c r="D227" s="143">
        <f>D188</f>
        <v>5381041.1828938676</v>
      </c>
      <c r="E227" s="143">
        <f t="shared" ref="E227:H227" si="110">E188</f>
        <v>5542472.4183806842</v>
      </c>
      <c r="F227" s="143">
        <f t="shared" si="110"/>
        <v>5708746.5909321047</v>
      </c>
      <c r="G227" s="143">
        <f t="shared" si="110"/>
        <v>5880008.9886600683</v>
      </c>
      <c r="H227" s="143">
        <f t="shared" si="110"/>
        <v>6056409.2583198706</v>
      </c>
    </row>
    <row r="228" spans="1:8" ht="20.100000000000001" customHeight="1">
      <c r="A228" s="176">
        <v>2</v>
      </c>
      <c r="B228" s="317" t="s">
        <v>251</v>
      </c>
      <c r="C228" s="317"/>
      <c r="D228" s="143">
        <f>D189</f>
        <v>970845.19243819395</v>
      </c>
      <c r="E228" s="143">
        <f t="shared" ref="E228:H228" si="111">E189</f>
        <v>999970.54821133974</v>
      </c>
      <c r="F228" s="143">
        <f t="shared" si="111"/>
        <v>1029969.66465768</v>
      </c>
      <c r="G228" s="143">
        <f t="shared" si="111"/>
        <v>1060868.7545974103</v>
      </c>
      <c r="H228" s="143">
        <f t="shared" si="111"/>
        <v>1092694.8172353327</v>
      </c>
    </row>
    <row r="229" spans="1:8" ht="20.100000000000001" customHeight="1">
      <c r="A229" s="176">
        <v>3</v>
      </c>
      <c r="B229" s="317" t="s">
        <v>346</v>
      </c>
      <c r="C229" s="317"/>
      <c r="D229" s="143">
        <f>D146*$D$192</f>
        <v>1320852.8555626813</v>
      </c>
      <c r="E229" s="143">
        <f t="shared" ref="E229:H229" si="112">E146*$D$192</f>
        <v>1399228.9122222464</v>
      </c>
      <c r="F229" s="143">
        <f t="shared" si="112"/>
        <v>1482180.3113010079</v>
      </c>
      <c r="G229" s="143">
        <f t="shared" si="112"/>
        <v>1569981.8380942012</v>
      </c>
      <c r="H229" s="143">
        <f t="shared" si="112"/>
        <v>1662925.7275955463</v>
      </c>
    </row>
    <row r="230" spans="1:8" ht="20.100000000000001" customHeight="1">
      <c r="A230" s="176">
        <v>4</v>
      </c>
      <c r="B230" s="317" t="s">
        <v>347</v>
      </c>
      <c r="C230" s="317"/>
      <c r="D230" s="143">
        <f>$D$193*D146</f>
        <v>440284.28518756048</v>
      </c>
      <c r="E230" s="143">
        <f t="shared" ref="E230:H230" si="113">$D$193*E146</f>
        <v>466409.63740741555</v>
      </c>
      <c r="F230" s="143">
        <f t="shared" si="113"/>
        <v>494060.1037670027</v>
      </c>
      <c r="G230" s="143">
        <f t="shared" si="113"/>
        <v>523327.27936473378</v>
      </c>
      <c r="H230" s="143">
        <f t="shared" si="113"/>
        <v>554308.57586518209</v>
      </c>
    </row>
    <row r="231" spans="1:8" ht="20.100000000000001" customHeight="1">
      <c r="A231" s="176">
        <v>5</v>
      </c>
      <c r="B231" s="317" t="s">
        <v>348</v>
      </c>
      <c r="C231" s="317"/>
      <c r="D231" s="143">
        <f>$D$194*D146</f>
        <v>220142.14259378024</v>
      </c>
      <c r="E231" s="143">
        <f t="shared" ref="E231:H231" si="114">$D$194*E146</f>
        <v>233204.81870370777</v>
      </c>
      <c r="F231" s="143">
        <f t="shared" si="114"/>
        <v>247030.05188350135</v>
      </c>
      <c r="G231" s="143">
        <f t="shared" si="114"/>
        <v>261663.63968236689</v>
      </c>
      <c r="H231" s="143">
        <f t="shared" si="114"/>
        <v>277154.28793259105</v>
      </c>
    </row>
    <row r="232" spans="1:8" ht="20.100000000000001" customHeight="1">
      <c r="A232" s="176">
        <v>6</v>
      </c>
      <c r="B232" s="317" t="s">
        <v>254</v>
      </c>
      <c r="C232" s="317"/>
      <c r="D232" s="143">
        <f>$D$195*D136</f>
        <v>1123959.6823042321</v>
      </c>
      <c r="E232" s="143">
        <f t="shared" ref="E232:H232" si="115">$D$195*E136</f>
        <v>1196329.0447787116</v>
      </c>
      <c r="F232" s="143">
        <f t="shared" si="115"/>
        <v>1273406.2842020139</v>
      </c>
      <c r="G232" s="143">
        <f t="shared" si="115"/>
        <v>1355510.7194869977</v>
      </c>
      <c r="H232" s="143">
        <f t="shared" si="115"/>
        <v>1442984.4544029643</v>
      </c>
    </row>
    <row r="233" spans="1:8" ht="20.100000000000001" customHeight="1">
      <c r="A233" s="176">
        <v>7</v>
      </c>
      <c r="B233" s="352" t="s">
        <v>349</v>
      </c>
      <c r="C233" s="352"/>
      <c r="D233" s="143">
        <f>$D$196*D138</f>
        <v>1216864.1284644264</v>
      </c>
      <c r="E233" s="143">
        <f t="shared" ref="E233:H233" si="116">$D$196*E138</f>
        <v>1282996.1026016169</v>
      </c>
      <c r="F233" s="143">
        <f t="shared" si="116"/>
        <v>1352471.6520642389</v>
      </c>
      <c r="G233" s="143">
        <f t="shared" si="116"/>
        <v>1425452.451719708</v>
      </c>
      <c r="H233" s="143">
        <f t="shared" si="116"/>
        <v>1502107.7607043125</v>
      </c>
    </row>
    <row r="234" spans="1:8" ht="20.100000000000001" customHeight="1">
      <c r="A234" s="176">
        <v>8</v>
      </c>
      <c r="B234" s="317" t="s">
        <v>258</v>
      </c>
      <c r="C234" s="317"/>
      <c r="D234" s="143">
        <f>$D$197*D146</f>
        <v>220142.14259378024</v>
      </c>
      <c r="E234" s="143">
        <f t="shared" ref="E234:H234" si="117">$D$197*E146</f>
        <v>233204.81870370777</v>
      </c>
      <c r="F234" s="143">
        <f t="shared" si="117"/>
        <v>247030.05188350135</v>
      </c>
      <c r="G234" s="143">
        <f t="shared" si="117"/>
        <v>261663.63968236689</v>
      </c>
      <c r="H234" s="143">
        <f t="shared" si="117"/>
        <v>277154.28793259105</v>
      </c>
    </row>
    <row r="235" spans="1:8" ht="20.100000000000001" customHeight="1">
      <c r="A235" s="206"/>
      <c r="B235" s="364" t="s">
        <v>259</v>
      </c>
      <c r="C235" s="364"/>
      <c r="D235" s="207">
        <f>SUM(D227:D234)</f>
        <v>10894131.612038523</v>
      </c>
      <c r="E235" s="208">
        <f>SUM(E227:E234)</f>
        <v>11353816.301009431</v>
      </c>
      <c r="F235" s="208">
        <f>SUM(F227:F234)</f>
        <v>11834894.710691052</v>
      </c>
      <c r="G235" s="208">
        <f>SUM(G227:G234)</f>
        <v>12338477.311287856</v>
      </c>
      <c r="H235" s="208">
        <f>SUM(H227:H234)</f>
        <v>12865739.169988394</v>
      </c>
    </row>
    <row r="236" spans="1:8" ht="20.100000000000001" customHeight="1">
      <c r="A236" s="104"/>
      <c r="B236" s="233"/>
      <c r="C236" s="233"/>
      <c r="D236" s="156"/>
      <c r="E236" s="157"/>
      <c r="F236" s="157"/>
      <c r="G236" s="157"/>
      <c r="H236" s="157"/>
    </row>
    <row r="237" spans="1:8">
      <c r="A237" s="120" t="s">
        <v>260</v>
      </c>
    </row>
    <row r="238" spans="1:8" ht="66.75" customHeight="1">
      <c r="A238" s="318" t="s">
        <v>504</v>
      </c>
      <c r="B238" s="318"/>
      <c r="C238" s="318"/>
      <c r="D238" s="318"/>
      <c r="E238" s="318"/>
      <c r="F238" s="318"/>
      <c r="G238" s="318"/>
      <c r="H238" s="318"/>
    </row>
    <row r="239" spans="1:8" ht="18" customHeight="1">
      <c r="A239" s="342" t="s">
        <v>426</v>
      </c>
      <c r="B239" s="342"/>
      <c r="C239" s="342"/>
      <c r="D239" s="342"/>
      <c r="E239" s="342"/>
      <c r="F239" s="342"/>
      <c r="G239" s="342"/>
      <c r="H239" s="342"/>
    </row>
    <row r="240" spans="1:8" ht="18" customHeight="1">
      <c r="A240" s="120" t="s">
        <v>99</v>
      </c>
    </row>
    <row r="241" spans="1:12" ht="18" customHeight="1">
      <c r="G241" s="29" t="s">
        <v>60</v>
      </c>
      <c r="H241" s="30" t="s">
        <v>61</v>
      </c>
      <c r="J241" s="204"/>
      <c r="L241" s="1" t="s">
        <v>498</v>
      </c>
    </row>
    <row r="242" spans="1:12" s="275" customFormat="1" ht="50.1" customHeight="1">
      <c r="A242" s="274" t="s">
        <v>1</v>
      </c>
      <c r="B242" s="274" t="s">
        <v>100</v>
      </c>
      <c r="C242" s="274" t="s">
        <v>106</v>
      </c>
      <c r="D242" s="274" t="s">
        <v>95</v>
      </c>
      <c r="E242" s="274" t="s">
        <v>101</v>
      </c>
      <c r="F242" s="276" t="s">
        <v>33</v>
      </c>
      <c r="G242" s="276" t="s">
        <v>34</v>
      </c>
      <c r="H242" s="276" t="s">
        <v>35</v>
      </c>
      <c r="K242" s="270" t="s">
        <v>460</v>
      </c>
      <c r="L242" s="272"/>
    </row>
    <row r="243" spans="1:12" ht="17.100000000000001" customHeight="1">
      <c r="A243" s="170" t="s">
        <v>38</v>
      </c>
      <c r="B243" s="170" t="s">
        <v>39</v>
      </c>
      <c r="C243" s="170" t="s">
        <v>40</v>
      </c>
      <c r="D243" s="170" t="s">
        <v>105</v>
      </c>
      <c r="E243" s="170" t="s">
        <v>425</v>
      </c>
      <c r="F243" s="118">
        <v>1</v>
      </c>
      <c r="G243" s="118">
        <v>2</v>
      </c>
      <c r="H243" s="118">
        <v>3</v>
      </c>
      <c r="K243" s="271" t="s">
        <v>503</v>
      </c>
      <c r="L243" s="273">
        <f>768000000/1.1</f>
        <v>698181818.18181813</v>
      </c>
    </row>
    <row r="244" spans="1:12" ht="17.100000000000001" customHeight="1">
      <c r="A244" s="176">
        <v>1</v>
      </c>
      <c r="B244" s="171" t="s">
        <v>351</v>
      </c>
      <c r="C244" s="175">
        <v>35</v>
      </c>
      <c r="D244" s="241">
        <f>L245/1000</f>
        <v>30855454.545454543</v>
      </c>
      <c r="E244" s="110">
        <f>1/C244</f>
        <v>2.8571428571428571E-2</v>
      </c>
      <c r="F244" s="47">
        <f>E244*D244</f>
        <v>881584.41558441555</v>
      </c>
      <c r="G244" s="48">
        <f>F244</f>
        <v>881584.41558441555</v>
      </c>
      <c r="H244" s="48">
        <f>G244</f>
        <v>881584.41558441555</v>
      </c>
      <c r="K244" s="271" t="s">
        <v>461</v>
      </c>
      <c r="L244" s="273">
        <f>675000000/1.1</f>
        <v>613636363.63636363</v>
      </c>
    </row>
    <row r="245" spans="1:12" ht="17.100000000000001" customHeight="1">
      <c r="A245" s="176">
        <v>2</v>
      </c>
      <c r="B245" s="171" t="s">
        <v>173</v>
      </c>
      <c r="C245" s="175">
        <v>6</v>
      </c>
      <c r="D245" s="241">
        <f>L249/1000</f>
        <v>8126363.6363636358</v>
      </c>
      <c r="E245" s="110">
        <f t="shared" ref="E245:E247" si="118">1/C245</f>
        <v>0.16666666666666666</v>
      </c>
      <c r="F245" s="47">
        <f t="shared" ref="F245:F247" si="119">E245*D245</f>
        <v>1354393.9393939392</v>
      </c>
      <c r="G245" s="48">
        <f t="shared" ref="G245:H245" si="120">F245</f>
        <v>1354393.9393939392</v>
      </c>
      <c r="H245" s="48">
        <f t="shared" si="120"/>
        <v>1354393.9393939392</v>
      </c>
      <c r="K245" s="271" t="s">
        <v>462</v>
      </c>
      <c r="L245" s="273">
        <f>33941000000/1.1</f>
        <v>30855454545.454544</v>
      </c>
    </row>
    <row r="246" spans="1:12" ht="17.100000000000001" customHeight="1">
      <c r="A246" s="176">
        <v>3</v>
      </c>
      <c r="B246" s="171" t="s">
        <v>435</v>
      </c>
      <c r="C246" s="175">
        <v>10</v>
      </c>
      <c r="D246" s="153">
        <f>L243/1000</f>
        <v>698181.81818181812</v>
      </c>
      <c r="E246" s="253">
        <f t="shared" si="118"/>
        <v>0.1</v>
      </c>
      <c r="F246" s="47">
        <f t="shared" si="119"/>
        <v>69818.181818181809</v>
      </c>
      <c r="G246" s="48">
        <f t="shared" ref="G246:H246" si="121">F246</f>
        <v>69818.181818181809</v>
      </c>
      <c r="H246" s="48">
        <f t="shared" si="121"/>
        <v>69818.181818181809</v>
      </c>
      <c r="K246" s="271" t="s">
        <v>463</v>
      </c>
      <c r="L246" s="273">
        <f>410400000/1.1</f>
        <v>373090909.09090906</v>
      </c>
    </row>
    <row r="247" spans="1:12" ht="17.100000000000001" customHeight="1">
      <c r="A247" s="176">
        <v>4</v>
      </c>
      <c r="B247" s="171" t="s">
        <v>434</v>
      </c>
      <c r="C247" s="175">
        <v>6</v>
      </c>
      <c r="D247" s="153">
        <f>(L244+L246+L247)/1000</f>
        <v>2050363.6363636362</v>
      </c>
      <c r="E247" s="110">
        <f t="shared" si="118"/>
        <v>0.16666666666666666</v>
      </c>
      <c r="F247" s="47">
        <f t="shared" si="119"/>
        <v>341727.27272727271</v>
      </c>
      <c r="G247" s="48">
        <f t="shared" ref="G247:H247" si="122">F247</f>
        <v>341727.27272727271</v>
      </c>
      <c r="H247" s="48">
        <f t="shared" si="122"/>
        <v>341727.27272727271</v>
      </c>
      <c r="K247" s="237" t="s">
        <v>442</v>
      </c>
      <c r="L247" s="273">
        <f>1170000000/1.1</f>
        <v>1063636363.6363635</v>
      </c>
    </row>
    <row r="248" spans="1:12" ht="17.100000000000001" customHeight="1">
      <c r="A248" s="176"/>
      <c r="B248" s="170" t="s">
        <v>103</v>
      </c>
      <c r="C248" s="242"/>
      <c r="D248" s="243">
        <f>SUM(D244:D247)</f>
        <v>41730363.636363633</v>
      </c>
      <c r="E248" s="15"/>
      <c r="F248" s="49">
        <f>SUM(F244:F247)</f>
        <v>2647523.8095238088</v>
      </c>
      <c r="G248" s="49">
        <f t="shared" ref="G248:H248" si="123">SUM(G244:G247)</f>
        <v>2647523.8095238088</v>
      </c>
      <c r="H248" s="49">
        <f t="shared" si="123"/>
        <v>2647523.8095238088</v>
      </c>
      <c r="K248" s="270" t="s">
        <v>464</v>
      </c>
      <c r="L248" s="272"/>
    </row>
    <row r="249" spans="1:12" ht="17.100000000000001" customHeight="1">
      <c r="A249" s="124"/>
      <c r="B249" s="118" t="s">
        <v>104</v>
      </c>
      <c r="C249" s="315"/>
      <c r="D249" s="315"/>
      <c r="E249" s="15"/>
      <c r="F249" s="49">
        <f>D248-F248</f>
        <v>39082839.826839827</v>
      </c>
      <c r="G249" s="49">
        <f>F249-G248</f>
        <v>36435316.017316021</v>
      </c>
      <c r="H249" s="49">
        <f>G249-H248</f>
        <v>33787792.207792215</v>
      </c>
      <c r="K249" s="278" t="s">
        <v>465</v>
      </c>
      <c r="L249" s="279">
        <f>8939000000/1.1</f>
        <v>8126363636.363636</v>
      </c>
    </row>
    <row r="250" spans="1:12" ht="20.100000000000001" customHeight="1"/>
    <row r="251" spans="1:12" s="277" customFormat="1" ht="50.1" customHeight="1">
      <c r="A251" s="274" t="s">
        <v>1</v>
      </c>
      <c r="B251" s="274" t="s">
        <v>100</v>
      </c>
      <c r="C251" s="274" t="s">
        <v>106</v>
      </c>
      <c r="D251" s="274" t="s">
        <v>95</v>
      </c>
      <c r="E251" s="274" t="s">
        <v>101</v>
      </c>
      <c r="F251" s="276" t="s">
        <v>36</v>
      </c>
      <c r="G251" s="276" t="s">
        <v>37</v>
      </c>
      <c r="H251" s="276" t="s">
        <v>50</v>
      </c>
    </row>
    <row r="252" spans="1:12" ht="17.100000000000001" customHeight="1">
      <c r="A252" s="170" t="s">
        <v>38</v>
      </c>
      <c r="B252" s="170" t="s">
        <v>39</v>
      </c>
      <c r="C252" s="170" t="s">
        <v>40</v>
      </c>
      <c r="D252" s="170" t="s">
        <v>105</v>
      </c>
      <c r="E252" s="170" t="s">
        <v>425</v>
      </c>
      <c r="F252" s="118">
        <v>4</v>
      </c>
      <c r="G252" s="118">
        <v>5</v>
      </c>
      <c r="H252" s="118">
        <v>6</v>
      </c>
    </row>
    <row r="253" spans="1:12" ht="17.100000000000001" customHeight="1">
      <c r="A253" s="176">
        <v>1</v>
      </c>
      <c r="B253" s="171" t="s">
        <v>351</v>
      </c>
      <c r="C253" s="175">
        <f>C244</f>
        <v>35</v>
      </c>
      <c r="D253" s="241">
        <f>D244</f>
        <v>30855454.545454543</v>
      </c>
      <c r="E253" s="110">
        <f>1/C253</f>
        <v>2.8571428571428571E-2</v>
      </c>
      <c r="F253" s="47">
        <f>E253*D253</f>
        <v>881584.41558441555</v>
      </c>
      <c r="G253" s="48">
        <f>F253</f>
        <v>881584.41558441555</v>
      </c>
      <c r="H253" s="48">
        <f>G253</f>
        <v>881584.41558441555</v>
      </c>
    </row>
    <row r="254" spans="1:12" ht="17.100000000000001" customHeight="1">
      <c r="A254" s="176">
        <v>2</v>
      </c>
      <c r="B254" s="171" t="s">
        <v>173</v>
      </c>
      <c r="C254" s="225">
        <f t="shared" ref="C254:C256" si="124">C245</f>
        <v>6</v>
      </c>
      <c r="D254" s="241">
        <f t="shared" ref="D254:D256" si="125">D245</f>
        <v>8126363.6363636358</v>
      </c>
      <c r="E254" s="110">
        <f t="shared" ref="E254:E256" si="126">1/C254</f>
        <v>0.16666666666666666</v>
      </c>
      <c r="F254" s="47">
        <f t="shared" ref="F254:F256" si="127">E254*D254</f>
        <v>1354393.9393939392</v>
      </c>
      <c r="G254" s="48">
        <f t="shared" ref="G254:H254" si="128">F254</f>
        <v>1354393.9393939392</v>
      </c>
      <c r="H254" s="48">
        <f t="shared" si="128"/>
        <v>1354393.9393939392</v>
      </c>
    </row>
    <row r="255" spans="1:12" ht="17.100000000000001" customHeight="1">
      <c r="A255" s="176">
        <v>3</v>
      </c>
      <c r="B255" s="171" t="s">
        <v>435</v>
      </c>
      <c r="C255" s="225">
        <f t="shared" si="124"/>
        <v>10</v>
      </c>
      <c r="D255" s="241">
        <f t="shared" si="125"/>
        <v>698181.81818181812</v>
      </c>
      <c r="E255" s="253">
        <f t="shared" si="126"/>
        <v>0.1</v>
      </c>
      <c r="F255" s="47">
        <f t="shared" si="127"/>
        <v>69818.181818181809</v>
      </c>
      <c r="G255" s="48">
        <f t="shared" ref="G255:H255" si="129">F255</f>
        <v>69818.181818181809</v>
      </c>
      <c r="H255" s="48">
        <f t="shared" si="129"/>
        <v>69818.181818181809</v>
      </c>
    </row>
    <row r="256" spans="1:12" ht="17.100000000000001" customHeight="1">
      <c r="A256" s="176">
        <v>4</v>
      </c>
      <c r="B256" s="171" t="s">
        <v>434</v>
      </c>
      <c r="C256" s="225">
        <f t="shared" si="124"/>
        <v>6</v>
      </c>
      <c r="D256" s="241">
        <f t="shared" si="125"/>
        <v>2050363.6363636362</v>
      </c>
      <c r="E256" s="110">
        <f t="shared" si="126"/>
        <v>0.16666666666666666</v>
      </c>
      <c r="F256" s="47">
        <f t="shared" si="127"/>
        <v>341727.27272727271</v>
      </c>
      <c r="G256" s="48">
        <f t="shared" ref="G256:H256" si="130">F256</f>
        <v>341727.27272727271</v>
      </c>
      <c r="H256" s="48">
        <f t="shared" si="130"/>
        <v>341727.27272727271</v>
      </c>
    </row>
    <row r="257" spans="1:8" ht="17.100000000000001" customHeight="1">
      <c r="A257" s="176"/>
      <c r="B257" s="170" t="s">
        <v>103</v>
      </c>
      <c r="C257" s="242"/>
      <c r="D257" s="243">
        <f>SUM(D253:D256)</f>
        <v>41730363.636363633</v>
      </c>
      <c r="E257" s="15"/>
      <c r="F257" s="49">
        <f>SUM(F253:F256)</f>
        <v>2647523.8095238088</v>
      </c>
      <c r="G257" s="49">
        <f t="shared" ref="G257" si="131">SUM(G253:G256)</f>
        <v>2647523.8095238088</v>
      </c>
      <c r="H257" s="49">
        <f t="shared" ref="H257" si="132">SUM(H253:H256)</f>
        <v>2647523.8095238088</v>
      </c>
    </row>
    <row r="258" spans="1:8" ht="17.100000000000001" customHeight="1">
      <c r="A258" s="124"/>
      <c r="B258" s="118" t="s">
        <v>104</v>
      </c>
      <c r="C258" s="315"/>
      <c r="D258" s="315"/>
      <c r="E258" s="15"/>
      <c r="F258" s="49">
        <f>H249-F257</f>
        <v>31140268.398268405</v>
      </c>
      <c r="G258" s="49">
        <f>F258-G257</f>
        <v>28492744.588744596</v>
      </c>
      <c r="H258" s="49">
        <f>G258-H257</f>
        <v>25845220.779220786</v>
      </c>
    </row>
    <row r="259" spans="1:8" ht="20.100000000000001" customHeight="1"/>
    <row r="260" spans="1:8" s="277" customFormat="1" ht="50.1" customHeight="1">
      <c r="A260" s="274" t="s">
        <v>1</v>
      </c>
      <c r="B260" s="274" t="s">
        <v>100</v>
      </c>
      <c r="C260" s="274" t="s">
        <v>106</v>
      </c>
      <c r="D260" s="274" t="s">
        <v>95</v>
      </c>
      <c r="E260" s="274" t="s">
        <v>101</v>
      </c>
      <c r="F260" s="276" t="s">
        <v>51</v>
      </c>
      <c r="G260" s="276" t="s">
        <v>52</v>
      </c>
      <c r="H260" s="276" t="s">
        <v>53</v>
      </c>
    </row>
    <row r="261" spans="1:8" ht="17.100000000000001" customHeight="1">
      <c r="A261" s="170" t="s">
        <v>38</v>
      </c>
      <c r="B261" s="170" t="s">
        <v>39</v>
      </c>
      <c r="C261" s="170" t="s">
        <v>40</v>
      </c>
      <c r="D261" s="170" t="s">
        <v>105</v>
      </c>
      <c r="E261" s="170" t="s">
        <v>425</v>
      </c>
      <c r="F261" s="118">
        <v>7</v>
      </c>
      <c r="G261" s="118">
        <v>8</v>
      </c>
      <c r="H261" s="118">
        <v>9</v>
      </c>
    </row>
    <row r="262" spans="1:8" ht="17.100000000000001" customHeight="1">
      <c r="A262" s="176">
        <v>1</v>
      </c>
      <c r="B262" s="171" t="s">
        <v>351</v>
      </c>
      <c r="C262" s="175">
        <f>C253</f>
        <v>35</v>
      </c>
      <c r="D262" s="241">
        <f>D253</f>
        <v>30855454.545454543</v>
      </c>
      <c r="E262" s="110">
        <f>1/C262</f>
        <v>2.8571428571428571E-2</v>
      </c>
      <c r="F262" s="47">
        <f>E262*D262</f>
        <v>881584.41558441555</v>
      </c>
      <c r="G262" s="48">
        <f>F262</f>
        <v>881584.41558441555</v>
      </c>
      <c r="H262" s="48">
        <f>G262</f>
        <v>881584.41558441555</v>
      </c>
    </row>
    <row r="263" spans="1:8" ht="17.100000000000001" customHeight="1">
      <c r="A263" s="176">
        <v>2</v>
      </c>
      <c r="B263" s="171" t="s">
        <v>173</v>
      </c>
      <c r="C263" s="225">
        <f t="shared" ref="C263:C265" si="133">C254</f>
        <v>6</v>
      </c>
      <c r="D263" s="241">
        <f t="shared" ref="D263:D265" si="134">D254</f>
        <v>8126363.6363636358</v>
      </c>
      <c r="E263" s="110">
        <f t="shared" ref="E263:E265" si="135">1/C263</f>
        <v>0.16666666666666666</v>
      </c>
      <c r="F263" s="47">
        <v>0</v>
      </c>
      <c r="G263" s="48">
        <f t="shared" ref="G263:H263" si="136">F263</f>
        <v>0</v>
      </c>
      <c r="H263" s="48">
        <f t="shared" si="136"/>
        <v>0</v>
      </c>
    </row>
    <row r="264" spans="1:8" ht="17.100000000000001" customHeight="1">
      <c r="A264" s="176">
        <v>3</v>
      </c>
      <c r="B264" s="171" t="s">
        <v>435</v>
      </c>
      <c r="C264" s="225">
        <f t="shared" si="133"/>
        <v>10</v>
      </c>
      <c r="D264" s="241">
        <f t="shared" si="134"/>
        <v>698181.81818181812</v>
      </c>
      <c r="E264" s="253">
        <f t="shared" si="135"/>
        <v>0.1</v>
      </c>
      <c r="F264" s="47">
        <f t="shared" ref="F264" si="137">E264*D264</f>
        <v>69818.181818181809</v>
      </c>
      <c r="G264" s="48">
        <f t="shared" ref="G264:H264" si="138">F264</f>
        <v>69818.181818181809</v>
      </c>
      <c r="H264" s="48">
        <f t="shared" si="138"/>
        <v>69818.181818181809</v>
      </c>
    </row>
    <row r="265" spans="1:8" ht="17.100000000000001" customHeight="1">
      <c r="A265" s="176">
        <v>4</v>
      </c>
      <c r="B265" s="171" t="s">
        <v>434</v>
      </c>
      <c r="C265" s="225">
        <f t="shared" si="133"/>
        <v>6</v>
      </c>
      <c r="D265" s="241">
        <f t="shared" si="134"/>
        <v>2050363.6363636362</v>
      </c>
      <c r="E265" s="110">
        <f t="shared" si="135"/>
        <v>0.16666666666666666</v>
      </c>
      <c r="F265" s="47">
        <v>0</v>
      </c>
      <c r="G265" s="48">
        <f t="shared" ref="G265:H265" si="139">F265</f>
        <v>0</v>
      </c>
      <c r="H265" s="48">
        <f t="shared" si="139"/>
        <v>0</v>
      </c>
    </row>
    <row r="266" spans="1:8" ht="17.100000000000001" customHeight="1">
      <c r="A266" s="176"/>
      <c r="B266" s="170" t="s">
        <v>103</v>
      </c>
      <c r="C266" s="242"/>
      <c r="D266" s="243">
        <f>SUM(D262:D265)</f>
        <v>41730363.636363633</v>
      </c>
      <c r="E266" s="15"/>
      <c r="F266" s="49">
        <f>SUM(F262:F265)</f>
        <v>951402.59740259731</v>
      </c>
      <c r="G266" s="49">
        <f t="shared" ref="G266" si="140">SUM(G262:G265)</f>
        <v>951402.59740259731</v>
      </c>
      <c r="H266" s="49">
        <f t="shared" ref="H266" si="141">SUM(H262:H265)</f>
        <v>951402.59740259731</v>
      </c>
    </row>
    <row r="267" spans="1:8" ht="17.100000000000001" customHeight="1">
      <c r="A267" s="124"/>
      <c r="B267" s="118" t="s">
        <v>104</v>
      </c>
      <c r="C267" s="315"/>
      <c r="D267" s="315"/>
      <c r="E267" s="15"/>
      <c r="F267" s="49">
        <f>H258-F266</f>
        <v>24893818.181818187</v>
      </c>
      <c r="G267" s="49">
        <f>F267-G266</f>
        <v>23942415.584415589</v>
      </c>
      <c r="H267" s="49">
        <f>G267-H266</f>
        <v>22991012.98701299</v>
      </c>
    </row>
    <row r="268" spans="1:8" ht="20.100000000000001" customHeight="1"/>
    <row r="269" spans="1:8" s="277" customFormat="1" ht="50.1" customHeight="1">
      <c r="A269" s="274" t="s">
        <v>1</v>
      </c>
      <c r="B269" s="274" t="s">
        <v>100</v>
      </c>
      <c r="C269" s="274" t="s">
        <v>106</v>
      </c>
      <c r="D269" s="274" t="s">
        <v>95</v>
      </c>
      <c r="E269" s="274" t="s">
        <v>101</v>
      </c>
      <c r="F269" s="276" t="s">
        <v>54</v>
      </c>
      <c r="G269" s="276" t="s">
        <v>55</v>
      </c>
      <c r="H269" s="276" t="s">
        <v>56</v>
      </c>
    </row>
    <row r="270" spans="1:8" ht="17.100000000000001" customHeight="1">
      <c r="A270" s="170" t="s">
        <v>38</v>
      </c>
      <c r="B270" s="170" t="s">
        <v>39</v>
      </c>
      <c r="C270" s="170" t="s">
        <v>40</v>
      </c>
      <c r="D270" s="170" t="s">
        <v>105</v>
      </c>
      <c r="E270" s="170" t="s">
        <v>425</v>
      </c>
      <c r="F270" s="118">
        <v>10</v>
      </c>
      <c r="G270" s="118">
        <v>11</v>
      </c>
      <c r="H270" s="118">
        <v>12</v>
      </c>
    </row>
    <row r="271" spans="1:8" ht="17.100000000000001" customHeight="1">
      <c r="A271" s="176">
        <v>1</v>
      </c>
      <c r="B271" s="171" t="s">
        <v>351</v>
      </c>
      <c r="C271" s="175">
        <f>C262</f>
        <v>35</v>
      </c>
      <c r="D271" s="241">
        <f>D262</f>
        <v>30855454.545454543</v>
      </c>
      <c r="E271" s="110">
        <f>1/C271</f>
        <v>2.8571428571428571E-2</v>
      </c>
      <c r="F271" s="47">
        <f>E271*D271</f>
        <v>881584.41558441555</v>
      </c>
      <c r="G271" s="48">
        <f>F271</f>
        <v>881584.41558441555</v>
      </c>
      <c r="H271" s="48">
        <f>G271</f>
        <v>881584.41558441555</v>
      </c>
    </row>
    <row r="272" spans="1:8" ht="17.100000000000001" customHeight="1">
      <c r="A272" s="176">
        <v>2</v>
      </c>
      <c r="B272" s="171" t="s">
        <v>173</v>
      </c>
      <c r="C272" s="225">
        <f t="shared" ref="C272:C274" si="142">C263</f>
        <v>6</v>
      </c>
      <c r="D272" s="241">
        <f t="shared" ref="D272:D274" si="143">D263</f>
        <v>8126363.6363636358</v>
      </c>
      <c r="E272" s="110">
        <f t="shared" ref="E272:E274" si="144">1/C272</f>
        <v>0.16666666666666666</v>
      </c>
      <c r="F272" s="47">
        <v>0</v>
      </c>
      <c r="G272" s="48">
        <v>0</v>
      </c>
      <c r="H272" s="48">
        <f t="shared" ref="H272" si="145">G272</f>
        <v>0</v>
      </c>
    </row>
    <row r="273" spans="1:8" ht="17.100000000000001" customHeight="1">
      <c r="A273" s="176">
        <v>3</v>
      </c>
      <c r="B273" s="171" t="s">
        <v>435</v>
      </c>
      <c r="C273" s="225">
        <f t="shared" si="142"/>
        <v>10</v>
      </c>
      <c r="D273" s="241">
        <f t="shared" si="143"/>
        <v>698181.81818181812</v>
      </c>
      <c r="E273" s="253">
        <f t="shared" si="144"/>
        <v>0.1</v>
      </c>
      <c r="F273" s="47">
        <f t="shared" ref="F273" si="146">E273*D273</f>
        <v>69818.181818181809</v>
      </c>
      <c r="G273" s="48">
        <v>0</v>
      </c>
      <c r="H273" s="48">
        <f t="shared" ref="H273" si="147">G273</f>
        <v>0</v>
      </c>
    </row>
    <row r="274" spans="1:8" ht="17.100000000000001" customHeight="1">
      <c r="A274" s="176">
        <v>4</v>
      </c>
      <c r="B274" s="171" t="s">
        <v>434</v>
      </c>
      <c r="C274" s="225">
        <f t="shared" si="142"/>
        <v>6</v>
      </c>
      <c r="D274" s="241">
        <f t="shared" si="143"/>
        <v>2050363.6363636362</v>
      </c>
      <c r="E274" s="110">
        <f t="shared" si="144"/>
        <v>0.16666666666666666</v>
      </c>
      <c r="F274" s="47">
        <v>0</v>
      </c>
      <c r="G274" s="48">
        <v>0</v>
      </c>
      <c r="H274" s="48">
        <f t="shared" ref="H274" si="148">G274</f>
        <v>0</v>
      </c>
    </row>
    <row r="275" spans="1:8" ht="17.100000000000001" customHeight="1">
      <c r="A275" s="176"/>
      <c r="B275" s="170" t="s">
        <v>103</v>
      </c>
      <c r="C275" s="242"/>
      <c r="D275" s="243">
        <f>SUM(D271:D274)</f>
        <v>41730363.636363633</v>
      </c>
      <c r="E275" s="15"/>
      <c r="F275" s="49">
        <f>SUM(F271:F274)</f>
        <v>951402.59740259731</v>
      </c>
      <c r="G275" s="49">
        <f t="shared" ref="G275" si="149">SUM(G271:G274)</f>
        <v>881584.41558441555</v>
      </c>
      <c r="H275" s="49">
        <f t="shared" ref="H275" si="150">SUM(H271:H274)</f>
        <v>881584.41558441555</v>
      </c>
    </row>
    <row r="276" spans="1:8" ht="17.100000000000001" customHeight="1">
      <c r="A276" s="124"/>
      <c r="B276" s="118" t="s">
        <v>104</v>
      </c>
      <c r="C276" s="315"/>
      <c r="D276" s="315"/>
      <c r="E276" s="15"/>
      <c r="F276" s="49">
        <f>H267-F275</f>
        <v>22039610.389610391</v>
      </c>
      <c r="G276" s="49">
        <f>F276-G275</f>
        <v>21158025.974025976</v>
      </c>
      <c r="H276" s="49">
        <f>G276-H275</f>
        <v>20276441.558441561</v>
      </c>
    </row>
    <row r="277" spans="1:8" ht="17.100000000000001" customHeight="1"/>
    <row r="278" spans="1:8" s="277" customFormat="1" ht="50.1" customHeight="1">
      <c r="A278" s="274" t="s">
        <v>1</v>
      </c>
      <c r="B278" s="274" t="s">
        <v>100</v>
      </c>
      <c r="C278" s="274" t="s">
        <v>106</v>
      </c>
      <c r="D278" s="274" t="s">
        <v>95</v>
      </c>
      <c r="E278" s="274" t="s">
        <v>101</v>
      </c>
      <c r="F278" s="276" t="s">
        <v>57</v>
      </c>
      <c r="G278" s="276" t="s">
        <v>58</v>
      </c>
      <c r="H278" s="276" t="s">
        <v>59</v>
      </c>
    </row>
    <row r="279" spans="1:8" ht="17.100000000000001" customHeight="1">
      <c r="A279" s="170" t="s">
        <v>38</v>
      </c>
      <c r="B279" s="170" t="s">
        <v>39</v>
      </c>
      <c r="C279" s="170" t="s">
        <v>40</v>
      </c>
      <c r="D279" s="170" t="s">
        <v>105</v>
      </c>
      <c r="E279" s="170" t="s">
        <v>425</v>
      </c>
      <c r="F279" s="118">
        <v>13</v>
      </c>
      <c r="G279" s="118">
        <v>14</v>
      </c>
      <c r="H279" s="118">
        <v>15</v>
      </c>
    </row>
    <row r="280" spans="1:8" ht="17.100000000000001" customHeight="1">
      <c r="A280" s="176">
        <v>1</v>
      </c>
      <c r="B280" s="171" t="s">
        <v>351</v>
      </c>
      <c r="C280" s="175">
        <f>C271</f>
        <v>35</v>
      </c>
      <c r="D280" s="241">
        <f>D271</f>
        <v>30855454.545454543</v>
      </c>
      <c r="E280" s="110">
        <f>1/C280</f>
        <v>2.8571428571428571E-2</v>
      </c>
      <c r="F280" s="47">
        <f>E280*D280</f>
        <v>881584.41558441555</v>
      </c>
      <c r="G280" s="48">
        <f>F280</f>
        <v>881584.41558441555</v>
      </c>
      <c r="H280" s="48">
        <f>G280</f>
        <v>881584.41558441555</v>
      </c>
    </row>
    <row r="281" spans="1:8" ht="17.100000000000001" customHeight="1">
      <c r="A281" s="176">
        <v>2</v>
      </c>
      <c r="B281" s="171" t="s">
        <v>173</v>
      </c>
      <c r="C281" s="225">
        <f t="shared" ref="C281:C283" si="151">C272</f>
        <v>6</v>
      </c>
      <c r="D281" s="241">
        <f t="shared" ref="D281:D283" si="152">D272</f>
        <v>8126363.6363636358</v>
      </c>
      <c r="E281" s="110">
        <f t="shared" ref="E281:E283" si="153">1/C281</f>
        <v>0.16666666666666666</v>
      </c>
      <c r="F281" s="47">
        <v>0</v>
      </c>
      <c r="G281" s="48">
        <f t="shared" ref="G281:H281" si="154">F281</f>
        <v>0</v>
      </c>
      <c r="H281" s="48">
        <f t="shared" si="154"/>
        <v>0</v>
      </c>
    </row>
    <row r="282" spans="1:8" ht="17.100000000000001" customHeight="1">
      <c r="A282" s="176">
        <v>3</v>
      </c>
      <c r="B282" s="171" t="s">
        <v>435</v>
      </c>
      <c r="C282" s="225">
        <f t="shared" si="151"/>
        <v>10</v>
      </c>
      <c r="D282" s="241">
        <f t="shared" si="152"/>
        <v>698181.81818181812</v>
      </c>
      <c r="E282" s="253">
        <f t="shared" si="153"/>
        <v>0.1</v>
      </c>
      <c r="F282" s="47">
        <v>0</v>
      </c>
      <c r="G282" s="48">
        <f t="shared" ref="G282:H282" si="155">F282</f>
        <v>0</v>
      </c>
      <c r="H282" s="48">
        <f t="shared" si="155"/>
        <v>0</v>
      </c>
    </row>
    <row r="283" spans="1:8" ht="17.100000000000001" customHeight="1">
      <c r="A283" s="176">
        <v>4</v>
      </c>
      <c r="B283" s="171" t="s">
        <v>434</v>
      </c>
      <c r="C283" s="225">
        <f t="shared" si="151"/>
        <v>6</v>
      </c>
      <c r="D283" s="241">
        <f t="shared" si="152"/>
        <v>2050363.6363636362</v>
      </c>
      <c r="E283" s="110">
        <f t="shared" si="153"/>
        <v>0.16666666666666666</v>
      </c>
      <c r="F283" s="47">
        <v>0</v>
      </c>
      <c r="G283" s="48">
        <f t="shared" ref="G283:H283" si="156">F283</f>
        <v>0</v>
      </c>
      <c r="H283" s="48">
        <f t="shared" si="156"/>
        <v>0</v>
      </c>
    </row>
    <row r="284" spans="1:8" ht="17.100000000000001" customHeight="1">
      <c r="A284" s="176"/>
      <c r="B284" s="170" t="s">
        <v>103</v>
      </c>
      <c r="C284" s="242"/>
      <c r="D284" s="243">
        <f>SUM(D280:D283)</f>
        <v>41730363.636363633</v>
      </c>
      <c r="E284" s="15"/>
      <c r="F284" s="49">
        <f>SUM(F280:F283)</f>
        <v>881584.41558441555</v>
      </c>
      <c r="G284" s="49">
        <f t="shared" ref="G284" si="157">SUM(G280:G283)</f>
        <v>881584.41558441555</v>
      </c>
      <c r="H284" s="49">
        <f t="shared" ref="H284" si="158">SUM(H280:H283)</f>
        <v>881584.41558441555</v>
      </c>
    </row>
    <row r="285" spans="1:8" ht="17.100000000000001" customHeight="1">
      <c r="A285" s="124"/>
      <c r="B285" s="118" t="s">
        <v>104</v>
      </c>
      <c r="C285" s="315"/>
      <c r="D285" s="315"/>
      <c r="E285" s="15"/>
      <c r="F285" s="49">
        <f>H276-F284</f>
        <v>19394857.142857146</v>
      </c>
      <c r="G285" s="49">
        <f>F285-G284</f>
        <v>18513272.72727273</v>
      </c>
      <c r="H285" s="49">
        <f>G285-H284</f>
        <v>17631688.311688315</v>
      </c>
    </row>
    <row r="286" spans="1:8" ht="17.100000000000001" customHeight="1"/>
    <row r="287" spans="1:8" ht="17.100000000000001" customHeight="1">
      <c r="A287" s="120" t="s">
        <v>361</v>
      </c>
    </row>
    <row r="288" spans="1:8" ht="17.100000000000001" customHeight="1">
      <c r="A288" s="308" t="s">
        <v>497</v>
      </c>
      <c r="B288" s="308"/>
      <c r="C288" s="308"/>
      <c r="E288" s="215">
        <v>6500</v>
      </c>
      <c r="F288" s="1" t="s">
        <v>357</v>
      </c>
    </row>
    <row r="289" spans="1:8" ht="17.100000000000001" customHeight="1">
      <c r="A289" s="308" t="s">
        <v>358</v>
      </c>
      <c r="B289" s="308"/>
      <c r="C289" s="308"/>
      <c r="E289" s="214">
        <v>11040</v>
      </c>
      <c r="F289" s="1" t="s">
        <v>359</v>
      </c>
    </row>
    <row r="290" spans="1:8" ht="17.100000000000001" customHeight="1">
      <c r="A290" s="308" t="s">
        <v>360</v>
      </c>
      <c r="B290" s="308"/>
      <c r="C290" s="308"/>
      <c r="D290" s="308"/>
      <c r="E290" s="5">
        <v>0.05</v>
      </c>
      <c r="F290" s="1" t="s">
        <v>72</v>
      </c>
    </row>
    <row r="291" spans="1:8" ht="17.100000000000001" customHeight="1"/>
    <row r="292" spans="1:8">
      <c r="A292" s="314" t="s">
        <v>261</v>
      </c>
      <c r="B292" s="314"/>
      <c r="C292" s="314"/>
      <c r="D292" s="314"/>
      <c r="E292" s="314"/>
      <c r="F292" s="314"/>
      <c r="G292" s="314"/>
      <c r="H292" s="314"/>
    </row>
    <row r="293" spans="1:8">
      <c r="A293" s="127" t="s">
        <v>117</v>
      </c>
      <c r="B293" s="127"/>
      <c r="C293" s="127"/>
      <c r="D293" s="119">
        <v>15</v>
      </c>
      <c r="E293" s="1" t="s">
        <v>118</v>
      </c>
    </row>
    <row r="294" spans="1:8">
      <c r="A294" s="127" t="s">
        <v>119</v>
      </c>
      <c r="B294" s="127"/>
      <c r="C294" s="127"/>
      <c r="D294" s="5">
        <f>D14</f>
        <v>0.2</v>
      </c>
    </row>
    <row r="295" spans="1:8">
      <c r="A295" s="322" t="s">
        <v>264</v>
      </c>
      <c r="B295" s="322"/>
      <c r="C295" s="322"/>
      <c r="D295" s="322"/>
      <c r="E295" s="322"/>
      <c r="F295" s="322"/>
      <c r="G295" s="322"/>
      <c r="H295" s="322"/>
    </row>
    <row r="296" spans="1:8">
      <c r="A296" s="127"/>
      <c r="B296" s="127"/>
      <c r="C296" s="127"/>
      <c r="G296" s="29" t="s">
        <v>60</v>
      </c>
      <c r="H296" s="30" t="s">
        <v>61</v>
      </c>
    </row>
    <row r="297" spans="1:8" ht="18.95" customHeight="1">
      <c r="A297" s="209" t="s">
        <v>1</v>
      </c>
      <c r="B297" s="311" t="s">
        <v>120</v>
      </c>
      <c r="C297" s="311"/>
      <c r="D297" s="209" t="s">
        <v>33</v>
      </c>
      <c r="E297" s="209" t="s">
        <v>34</v>
      </c>
      <c r="F297" s="209" t="s">
        <v>35</v>
      </c>
      <c r="G297" s="209" t="s">
        <v>36</v>
      </c>
      <c r="H297" s="209" t="s">
        <v>37</v>
      </c>
    </row>
    <row r="298" spans="1:8" ht="18.95" customHeight="1">
      <c r="A298" s="131" t="s">
        <v>41</v>
      </c>
      <c r="B298" s="312" t="s">
        <v>121</v>
      </c>
      <c r="C298" s="312"/>
      <c r="D298" s="58">
        <f>D84</f>
        <v>10219000</v>
      </c>
      <c r="E298" s="58">
        <f t="shared" ref="E298:H298" si="159">E84</f>
        <v>11052870.399999999</v>
      </c>
      <c r="F298" s="58">
        <f t="shared" si="159"/>
        <v>11954784.624640003</v>
      </c>
      <c r="G298" s="58">
        <f t="shared" si="159"/>
        <v>12930295.050010625</v>
      </c>
      <c r="H298" s="58">
        <f t="shared" si="159"/>
        <v>13985407.126091495</v>
      </c>
    </row>
    <row r="299" spans="1:8" ht="18.95" customHeight="1">
      <c r="A299" s="59" t="s">
        <v>43</v>
      </c>
      <c r="B299" s="309" t="s">
        <v>122</v>
      </c>
      <c r="C299" s="309"/>
      <c r="D299" s="60">
        <f>SUM(D300:D302)</f>
        <v>9835742.1389064379</v>
      </c>
      <c r="E299" s="60">
        <f>SUM(E300:E302)</f>
        <v>10180315.265090976</v>
      </c>
      <c r="F299" s="60">
        <f>SUM(F300:F302)</f>
        <v>10544208.46586727</v>
      </c>
      <c r="G299" s="60">
        <f>SUM(G300:G302)</f>
        <v>10928647.911495194</v>
      </c>
      <c r="H299" s="60">
        <f>SUM(H300:H302)</f>
        <v>11302664.431697268</v>
      </c>
    </row>
    <row r="300" spans="1:8" ht="18.95" customHeight="1">
      <c r="A300" s="61">
        <v>1</v>
      </c>
      <c r="B300" s="310" t="s">
        <v>262</v>
      </c>
      <c r="C300" s="310"/>
      <c r="D300" s="115">
        <f>D211</f>
        <v>7116458.3293826301</v>
      </c>
      <c r="E300" s="115">
        <f t="shared" ref="E300:H300" si="160">E211</f>
        <v>7461031.4555671681</v>
      </c>
      <c r="F300" s="115">
        <f t="shared" si="160"/>
        <v>7824924.6563434601</v>
      </c>
      <c r="G300" s="115">
        <f t="shared" si="160"/>
        <v>8209364.1019713851</v>
      </c>
      <c r="H300" s="115">
        <f t="shared" si="160"/>
        <v>8583380.6221734583</v>
      </c>
    </row>
    <row r="301" spans="1:8" ht="18.95" customHeight="1">
      <c r="A301" s="61">
        <v>2</v>
      </c>
      <c r="B301" s="310" t="s">
        <v>123</v>
      </c>
      <c r="C301" s="310"/>
      <c r="D301" s="62">
        <f>F248</f>
        <v>2647523.8095238088</v>
      </c>
      <c r="E301" s="62">
        <f>D301</f>
        <v>2647523.8095238088</v>
      </c>
      <c r="F301" s="62">
        <f t="shared" ref="F301:H302" si="161">E301</f>
        <v>2647523.8095238088</v>
      </c>
      <c r="G301" s="62">
        <f t="shared" si="161"/>
        <v>2647523.8095238088</v>
      </c>
      <c r="H301" s="62">
        <f t="shared" si="161"/>
        <v>2647523.8095238088</v>
      </c>
    </row>
    <row r="302" spans="1:8" ht="18.95" customHeight="1">
      <c r="A302" s="61">
        <v>3</v>
      </c>
      <c r="B302" s="310" t="s">
        <v>124</v>
      </c>
      <c r="C302" s="310"/>
      <c r="D302" s="216">
        <f>E288*E289/1000</f>
        <v>71760</v>
      </c>
      <c r="E302" s="217">
        <f>D302</f>
        <v>71760</v>
      </c>
      <c r="F302" s="217">
        <f t="shared" si="161"/>
        <v>71760</v>
      </c>
      <c r="G302" s="217">
        <f t="shared" si="161"/>
        <v>71760</v>
      </c>
      <c r="H302" s="217">
        <f t="shared" si="161"/>
        <v>71760</v>
      </c>
    </row>
    <row r="303" spans="1:8" ht="18.95" customHeight="1">
      <c r="A303" s="59" t="s">
        <v>125</v>
      </c>
      <c r="B303" s="309" t="s">
        <v>129</v>
      </c>
      <c r="C303" s="309"/>
      <c r="D303" s="64">
        <f>D298-D299</f>
        <v>383257.8610935621</v>
      </c>
      <c r="E303" s="64">
        <f t="shared" ref="E303:H303" si="162">E298-E299</f>
        <v>872555.1349090226</v>
      </c>
      <c r="F303" s="64">
        <f t="shared" si="162"/>
        <v>1410576.1587727331</v>
      </c>
      <c r="G303" s="64">
        <f t="shared" si="162"/>
        <v>2001647.1385154314</v>
      </c>
      <c r="H303" s="64">
        <f t="shared" si="162"/>
        <v>2682742.6943942271</v>
      </c>
    </row>
    <row r="304" spans="1:8" ht="18.95" customHeight="1">
      <c r="A304" s="61"/>
      <c r="B304" s="310" t="s">
        <v>126</v>
      </c>
      <c r="C304" s="310"/>
      <c r="D304" s="65">
        <f>D303*$D$294</f>
        <v>76651.572218712419</v>
      </c>
      <c r="E304" s="65">
        <f t="shared" ref="E304:H304" si="163">E303*$D$294</f>
        <v>174511.02698180452</v>
      </c>
      <c r="F304" s="65">
        <f t="shared" si="163"/>
        <v>282115.23175454664</v>
      </c>
      <c r="G304" s="65">
        <f t="shared" si="163"/>
        <v>400329.42770308629</v>
      </c>
      <c r="H304" s="65">
        <f t="shared" si="163"/>
        <v>536548.5388788454</v>
      </c>
    </row>
    <row r="305" spans="1:8" ht="18.95" customHeight="1">
      <c r="A305" s="59" t="s">
        <v>127</v>
      </c>
      <c r="B305" s="309" t="s">
        <v>128</v>
      </c>
      <c r="C305" s="309"/>
      <c r="D305" s="64">
        <f>D303-D304</f>
        <v>306606.28887484968</v>
      </c>
      <c r="E305" s="64">
        <f t="shared" ref="E305:H305" si="164">E303-E304</f>
        <v>698044.10792721808</v>
      </c>
      <c r="F305" s="64">
        <f t="shared" si="164"/>
        <v>1128460.9270181865</v>
      </c>
      <c r="G305" s="64">
        <f t="shared" si="164"/>
        <v>1601317.7108123451</v>
      </c>
      <c r="H305" s="64">
        <f t="shared" si="164"/>
        <v>2146194.1555153816</v>
      </c>
    </row>
    <row r="306" spans="1:8">
      <c r="B306" s="313"/>
      <c r="C306" s="313"/>
    </row>
    <row r="307" spans="1:8">
      <c r="A307" s="127"/>
      <c r="B307" s="127"/>
      <c r="C307" s="127"/>
      <c r="G307" s="29" t="s">
        <v>60</v>
      </c>
      <c r="H307" s="30" t="s">
        <v>61</v>
      </c>
    </row>
    <row r="308" spans="1:8">
      <c r="A308" s="209" t="s">
        <v>1</v>
      </c>
      <c r="B308" s="311" t="s">
        <v>120</v>
      </c>
      <c r="C308" s="311"/>
      <c r="D308" s="209" t="s">
        <v>50</v>
      </c>
      <c r="E308" s="209" t="s">
        <v>51</v>
      </c>
      <c r="F308" s="209" t="s">
        <v>52</v>
      </c>
      <c r="G308" s="209" t="s">
        <v>53</v>
      </c>
      <c r="H308" s="209" t="s">
        <v>54</v>
      </c>
    </row>
    <row r="309" spans="1:8">
      <c r="A309" s="131" t="s">
        <v>41</v>
      </c>
      <c r="B309" s="312" t="s">
        <v>121</v>
      </c>
      <c r="C309" s="312"/>
      <c r="D309" s="58">
        <f>D115</f>
        <v>15261239.240681952</v>
      </c>
      <c r="E309" s="58">
        <f t="shared" ref="E309:H309" si="165">E115</f>
        <v>16621119.112212703</v>
      </c>
      <c r="F309" s="58">
        <f t="shared" si="165"/>
        <v>18070084.829532281</v>
      </c>
      <c r="G309" s="58">
        <f t="shared" si="165"/>
        <v>19613472.069119632</v>
      </c>
      <c r="H309" s="58">
        <f t="shared" si="165"/>
        <v>20779895.021882951</v>
      </c>
    </row>
    <row r="310" spans="1:8">
      <c r="A310" s="59" t="s">
        <v>43</v>
      </c>
      <c r="B310" s="309" t="s">
        <v>122</v>
      </c>
      <c r="C310" s="309"/>
      <c r="D310" s="60">
        <f>SUM(D311:D313)</f>
        <v>11351268.076402254</v>
      </c>
      <c r="E310" s="60">
        <f t="shared" ref="E310:H310" si="166">SUM(E311:E313)</f>
        <v>10100228.496895846</v>
      </c>
      <c r="F310" s="60">
        <f t="shared" si="166"/>
        <v>10568614.64141934</v>
      </c>
      <c r="G310" s="60">
        <f t="shared" si="166"/>
        <v>11061551.934246887</v>
      </c>
      <c r="H310" s="60">
        <f t="shared" si="166"/>
        <v>11481541.464932242</v>
      </c>
    </row>
    <row r="311" spans="1:8">
      <c r="A311" s="61">
        <v>1</v>
      </c>
      <c r="B311" s="310" t="s">
        <v>262</v>
      </c>
      <c r="C311" s="310"/>
      <c r="D311" s="115">
        <f>D223</f>
        <v>8628396.2668784466</v>
      </c>
      <c r="E311" s="115">
        <f t="shared" ref="E311:H311" si="167">E223</f>
        <v>9073477.8994932491</v>
      </c>
      <c r="F311" s="115">
        <f t="shared" si="167"/>
        <v>9541864.0440167431</v>
      </c>
      <c r="G311" s="115">
        <f t="shared" si="167"/>
        <v>10034801.33684429</v>
      </c>
      <c r="H311" s="115">
        <f t="shared" si="167"/>
        <v>10454790.867529646</v>
      </c>
    </row>
    <row r="312" spans="1:8">
      <c r="A312" s="61">
        <v>2</v>
      </c>
      <c r="B312" s="310" t="s">
        <v>123</v>
      </c>
      <c r="C312" s="310"/>
      <c r="D312" s="62">
        <f>H257</f>
        <v>2647523.8095238088</v>
      </c>
      <c r="E312" s="62">
        <f>F266</f>
        <v>951402.59740259731</v>
      </c>
      <c r="F312" s="62">
        <f t="shared" ref="F312:G312" si="168">G266</f>
        <v>951402.59740259731</v>
      </c>
      <c r="G312" s="62">
        <f t="shared" si="168"/>
        <v>951402.59740259731</v>
      </c>
      <c r="H312" s="62">
        <f>F275</f>
        <v>951402.59740259731</v>
      </c>
    </row>
    <row r="313" spans="1:8">
      <c r="A313" s="61">
        <v>3</v>
      </c>
      <c r="B313" s="310" t="s">
        <v>124</v>
      </c>
      <c r="C313" s="310"/>
      <c r="D313" s="216">
        <f>H302*(1+E290)</f>
        <v>75348</v>
      </c>
      <c r="E313" s="217">
        <f>D313</f>
        <v>75348</v>
      </c>
      <c r="F313" s="217">
        <f t="shared" ref="F313:H313" si="169">E313</f>
        <v>75348</v>
      </c>
      <c r="G313" s="217">
        <f t="shared" si="169"/>
        <v>75348</v>
      </c>
      <c r="H313" s="217">
        <f t="shared" si="169"/>
        <v>75348</v>
      </c>
    </row>
    <row r="314" spans="1:8">
      <c r="A314" s="59" t="s">
        <v>125</v>
      </c>
      <c r="B314" s="309" t="s">
        <v>129</v>
      </c>
      <c r="C314" s="309"/>
      <c r="D314" s="64">
        <f>D309-D310</f>
        <v>3909971.1642796975</v>
      </c>
      <c r="E314" s="64">
        <f t="shared" ref="E314:H314" si="170">E309-E310</f>
        <v>6520890.6153168567</v>
      </c>
      <c r="F314" s="64">
        <f t="shared" si="170"/>
        <v>7501470.1881129406</v>
      </c>
      <c r="G314" s="64">
        <f t="shared" si="170"/>
        <v>8551920.1348727457</v>
      </c>
      <c r="H314" s="64">
        <f t="shared" si="170"/>
        <v>9298353.5569507089</v>
      </c>
    </row>
    <row r="315" spans="1:8">
      <c r="A315" s="61"/>
      <c r="B315" s="310" t="s">
        <v>126</v>
      </c>
      <c r="C315" s="310"/>
      <c r="D315" s="65">
        <f>D314*$D$294</f>
        <v>781994.23285593954</v>
      </c>
      <c r="E315" s="65">
        <f t="shared" ref="E315:H315" si="171">E314*$D$294</f>
        <v>1304178.1230633715</v>
      </c>
      <c r="F315" s="65">
        <f t="shared" si="171"/>
        <v>1500294.0376225882</v>
      </c>
      <c r="G315" s="65">
        <f t="shared" si="171"/>
        <v>1710384.0269745493</v>
      </c>
      <c r="H315" s="65">
        <f t="shared" si="171"/>
        <v>1859670.7113901419</v>
      </c>
    </row>
    <row r="316" spans="1:8">
      <c r="A316" s="59" t="s">
        <v>127</v>
      </c>
      <c r="B316" s="309" t="s">
        <v>128</v>
      </c>
      <c r="C316" s="309"/>
      <c r="D316" s="64">
        <f>D314-D315</f>
        <v>3127976.9314237582</v>
      </c>
      <c r="E316" s="64">
        <f t="shared" ref="E316:H316" si="172">E314-E315</f>
        <v>5216712.4922534851</v>
      </c>
      <c r="F316" s="64">
        <f t="shared" si="172"/>
        <v>6001176.1504903529</v>
      </c>
      <c r="G316" s="64">
        <f t="shared" si="172"/>
        <v>6841536.1078981962</v>
      </c>
      <c r="H316" s="64">
        <f t="shared" si="172"/>
        <v>7438682.8455605675</v>
      </c>
    </row>
    <row r="318" spans="1:8">
      <c r="A318" s="222"/>
      <c r="B318" s="222"/>
      <c r="C318" s="222"/>
      <c r="D318" s="222"/>
    </row>
    <row r="319" spans="1:8">
      <c r="A319" s="209" t="s">
        <v>1</v>
      </c>
      <c r="B319" s="311" t="s">
        <v>120</v>
      </c>
      <c r="C319" s="311"/>
      <c r="D319" s="209" t="s">
        <v>55</v>
      </c>
      <c r="E319" s="209" t="s">
        <v>56</v>
      </c>
      <c r="F319" s="209" t="s">
        <v>57</v>
      </c>
      <c r="G319" s="209" t="s">
        <v>58</v>
      </c>
      <c r="H319" s="209" t="s">
        <v>59</v>
      </c>
    </row>
    <row r="320" spans="1:8">
      <c r="A320" s="230" t="s">
        <v>41</v>
      </c>
      <c r="B320" s="312" t="s">
        <v>121</v>
      </c>
      <c r="C320" s="312"/>
      <c r="D320" s="58">
        <f>D146</f>
        <v>22014214.259378023</v>
      </c>
      <c r="E320" s="58">
        <f t="shared" ref="E320:H320" si="173">E146</f>
        <v>23320481.870370775</v>
      </c>
      <c r="F320" s="58">
        <f t="shared" si="173"/>
        <v>24703005.188350134</v>
      </c>
      <c r="G320" s="58">
        <f t="shared" si="173"/>
        <v>26166363.968236689</v>
      </c>
      <c r="H320" s="58">
        <f t="shared" si="173"/>
        <v>27715428.793259107</v>
      </c>
    </row>
    <row r="321" spans="1:8">
      <c r="A321" s="59" t="s">
        <v>43</v>
      </c>
      <c r="B321" s="309" t="s">
        <v>122</v>
      </c>
      <c r="C321" s="309"/>
      <c r="D321" s="60">
        <f>SUM(D322:D324)</f>
        <v>11854831.427622939</v>
      </c>
      <c r="E321" s="60">
        <f t="shared" ref="E321:H321" si="174">SUM(E322:E324)</f>
        <v>12314516.116593847</v>
      </c>
      <c r="F321" s="60">
        <f t="shared" si="174"/>
        <v>12795594.526275467</v>
      </c>
      <c r="G321" s="60">
        <f t="shared" si="174"/>
        <v>13299177.126872271</v>
      </c>
      <c r="H321" s="60">
        <f t="shared" si="174"/>
        <v>13826438.985572809</v>
      </c>
    </row>
    <row r="322" spans="1:8">
      <c r="A322" s="61">
        <v>1</v>
      </c>
      <c r="B322" s="310" t="s">
        <v>262</v>
      </c>
      <c r="C322" s="310"/>
      <c r="D322" s="115">
        <f>D235</f>
        <v>10894131.612038523</v>
      </c>
      <c r="E322" s="115">
        <f t="shared" ref="E322:H322" si="175">E235</f>
        <v>11353816.301009431</v>
      </c>
      <c r="F322" s="115">
        <f t="shared" si="175"/>
        <v>11834894.710691052</v>
      </c>
      <c r="G322" s="115">
        <f t="shared" si="175"/>
        <v>12338477.311287856</v>
      </c>
      <c r="H322" s="115">
        <f t="shared" si="175"/>
        <v>12865739.169988394</v>
      </c>
    </row>
    <row r="323" spans="1:8">
      <c r="A323" s="61">
        <v>2</v>
      </c>
      <c r="B323" s="310" t="s">
        <v>123</v>
      </c>
      <c r="C323" s="310"/>
      <c r="D323" s="62">
        <f>G275</f>
        <v>881584.41558441555</v>
      </c>
      <c r="E323" s="62">
        <f>D323</f>
        <v>881584.41558441555</v>
      </c>
      <c r="F323" s="62">
        <f t="shared" ref="F323:H323" si="176">E323</f>
        <v>881584.41558441555</v>
      </c>
      <c r="G323" s="62">
        <f t="shared" si="176"/>
        <v>881584.41558441555</v>
      </c>
      <c r="H323" s="62">
        <f t="shared" si="176"/>
        <v>881584.41558441555</v>
      </c>
    </row>
    <row r="324" spans="1:8">
      <c r="A324" s="61">
        <v>3</v>
      </c>
      <c r="B324" s="310" t="s">
        <v>124</v>
      </c>
      <c r="C324" s="310"/>
      <c r="D324" s="216">
        <f>H313*(1+E290)</f>
        <v>79115.400000000009</v>
      </c>
      <c r="E324" s="217">
        <f>D324</f>
        <v>79115.400000000009</v>
      </c>
      <c r="F324" s="217">
        <f t="shared" ref="F324" si="177">E324</f>
        <v>79115.400000000009</v>
      </c>
      <c r="G324" s="217">
        <f t="shared" ref="G324" si="178">F324</f>
        <v>79115.400000000009</v>
      </c>
      <c r="H324" s="217">
        <f t="shared" ref="H324" si="179">G324</f>
        <v>79115.400000000009</v>
      </c>
    </row>
    <row r="325" spans="1:8">
      <c r="A325" s="59" t="s">
        <v>125</v>
      </c>
      <c r="B325" s="309" t="s">
        <v>129</v>
      </c>
      <c r="C325" s="309"/>
      <c r="D325" s="64">
        <f>D320-D321</f>
        <v>10159382.831755085</v>
      </c>
      <c r="E325" s="64">
        <f t="shared" ref="E325:H325" si="180">E320-E321</f>
        <v>11005965.753776928</v>
      </c>
      <c r="F325" s="64">
        <f t="shared" si="180"/>
        <v>11907410.662074666</v>
      </c>
      <c r="G325" s="64">
        <f t="shared" si="180"/>
        <v>12867186.841364417</v>
      </c>
      <c r="H325" s="64">
        <f t="shared" si="180"/>
        <v>13888989.807686297</v>
      </c>
    </row>
    <row r="326" spans="1:8">
      <c r="A326" s="61"/>
      <c r="B326" s="310" t="s">
        <v>126</v>
      </c>
      <c r="C326" s="310"/>
      <c r="D326" s="65">
        <f>D325*$D$294</f>
        <v>2031876.566351017</v>
      </c>
      <c r="E326" s="65">
        <f t="shared" ref="E326:H326" si="181">E325*$D$294</f>
        <v>2201193.1507553859</v>
      </c>
      <c r="F326" s="65">
        <f t="shared" si="181"/>
        <v>2381482.1324149333</v>
      </c>
      <c r="G326" s="65">
        <f t="shared" si="181"/>
        <v>2573437.3682728838</v>
      </c>
      <c r="H326" s="65">
        <f t="shared" si="181"/>
        <v>2777797.9615372596</v>
      </c>
    </row>
    <row r="327" spans="1:8">
      <c r="A327" s="59" t="s">
        <v>127</v>
      </c>
      <c r="B327" s="309" t="s">
        <v>128</v>
      </c>
      <c r="C327" s="309"/>
      <c r="D327" s="64">
        <f>D325-D326</f>
        <v>8127506.2654040679</v>
      </c>
      <c r="E327" s="64">
        <f t="shared" ref="E327:H327" si="182">E325-E326</f>
        <v>8804772.6030215435</v>
      </c>
      <c r="F327" s="64">
        <f t="shared" si="182"/>
        <v>9525928.5296597332</v>
      </c>
      <c r="G327" s="64">
        <f t="shared" si="182"/>
        <v>10293749.473091533</v>
      </c>
      <c r="H327" s="64">
        <f t="shared" si="182"/>
        <v>11111191.846149039</v>
      </c>
    </row>
    <row r="328" spans="1:8">
      <c r="A328" s="222"/>
      <c r="B328" s="222"/>
      <c r="C328" s="222"/>
      <c r="D328" s="222"/>
    </row>
    <row r="329" spans="1:8">
      <c r="A329" s="343" t="s">
        <v>325</v>
      </c>
      <c r="B329" s="343"/>
      <c r="C329" s="343"/>
      <c r="D329" s="343"/>
      <c r="E329" s="343"/>
      <c r="F329" s="343"/>
      <c r="G329" s="343"/>
      <c r="H329" s="343"/>
    </row>
    <row r="330" spans="1:8">
      <c r="A330" s="343" t="s">
        <v>326</v>
      </c>
      <c r="B330" s="343"/>
      <c r="C330" s="343"/>
      <c r="D330" s="343"/>
      <c r="E330" s="343"/>
      <c r="F330" s="343"/>
      <c r="G330" s="343"/>
      <c r="H330" s="343"/>
    </row>
    <row r="331" spans="1:8">
      <c r="A331" s="343" t="s">
        <v>327</v>
      </c>
      <c r="B331" s="343"/>
      <c r="C331" s="343"/>
      <c r="D331" s="343"/>
      <c r="E331" s="343"/>
      <c r="F331" s="343"/>
      <c r="G331" s="343"/>
      <c r="H331" s="343"/>
    </row>
    <row r="332" spans="1:8" ht="34.5" customHeight="1">
      <c r="A332" s="343" t="s">
        <v>328</v>
      </c>
      <c r="B332" s="343"/>
      <c r="C332" s="343"/>
      <c r="D332" s="343"/>
      <c r="E332" s="343"/>
      <c r="F332" s="343"/>
      <c r="G332" s="343"/>
      <c r="H332" s="343"/>
    </row>
  </sheetData>
  <mergeCells count="221">
    <mergeCell ref="A7:H7"/>
    <mergeCell ref="A8:H8"/>
    <mergeCell ref="A9:H9"/>
    <mergeCell ref="A10:H10"/>
    <mergeCell ref="A11:H11"/>
    <mergeCell ref="A1:H1"/>
    <mergeCell ref="A2:H2"/>
    <mergeCell ref="A3:H3"/>
    <mergeCell ref="A4:C4"/>
    <mergeCell ref="A5:H5"/>
    <mergeCell ref="A6:H6"/>
    <mergeCell ref="A16:C16"/>
    <mergeCell ref="A17:C17"/>
    <mergeCell ref="A18:C18"/>
    <mergeCell ref="A19:C19"/>
    <mergeCell ref="A20:C20"/>
    <mergeCell ref="A22:E22"/>
    <mergeCell ref="A12:H12"/>
    <mergeCell ref="A13:H13"/>
    <mergeCell ref="A14:C14"/>
    <mergeCell ref="A15:C15"/>
    <mergeCell ref="B31:C31"/>
    <mergeCell ref="B32:C32"/>
    <mergeCell ref="B33:C33"/>
    <mergeCell ref="B34:C34"/>
    <mergeCell ref="B35:C35"/>
    <mergeCell ref="B36:C36"/>
    <mergeCell ref="A23:H23"/>
    <mergeCell ref="A24:C24"/>
    <mergeCell ref="A25:C25"/>
    <mergeCell ref="A28:C28"/>
    <mergeCell ref="A29:E29"/>
    <mergeCell ref="B30:C30"/>
    <mergeCell ref="A26:C26"/>
    <mergeCell ref="A27:C27"/>
    <mergeCell ref="F27:H27"/>
    <mergeCell ref="B43:C43"/>
    <mergeCell ref="B44:C44"/>
    <mergeCell ref="A54:E54"/>
    <mergeCell ref="A56:A57"/>
    <mergeCell ref="B56:C57"/>
    <mergeCell ref="B58:C58"/>
    <mergeCell ref="B37:C37"/>
    <mergeCell ref="B38:C38"/>
    <mergeCell ref="B39:C39"/>
    <mergeCell ref="B40:C40"/>
    <mergeCell ref="B41:C41"/>
    <mergeCell ref="B42:C42"/>
    <mergeCell ref="B46:C46"/>
    <mergeCell ref="B47:C47"/>
    <mergeCell ref="B48:C48"/>
    <mergeCell ref="B49:C49"/>
    <mergeCell ref="B50:C50"/>
    <mergeCell ref="B51:C51"/>
    <mergeCell ref="B52:C52"/>
    <mergeCell ref="B73:C73"/>
    <mergeCell ref="B74:C74"/>
    <mergeCell ref="B75:C75"/>
    <mergeCell ref="B76:C76"/>
    <mergeCell ref="B59:C59"/>
    <mergeCell ref="B60:C60"/>
    <mergeCell ref="B64:C64"/>
    <mergeCell ref="B68:C68"/>
    <mergeCell ref="B69:C69"/>
    <mergeCell ref="B70:C70"/>
    <mergeCell ref="A87:A88"/>
    <mergeCell ref="B87:C88"/>
    <mergeCell ref="B89:C89"/>
    <mergeCell ref="B77:C77"/>
    <mergeCell ref="B78:C78"/>
    <mergeCell ref="B79:C79"/>
    <mergeCell ref="B80:C80"/>
    <mergeCell ref="B81:C81"/>
    <mergeCell ref="B82:C82"/>
    <mergeCell ref="B90:C90"/>
    <mergeCell ref="B91:C91"/>
    <mergeCell ref="B95:C95"/>
    <mergeCell ref="B99:C99"/>
    <mergeCell ref="B100:C100"/>
    <mergeCell ref="B101:C101"/>
    <mergeCell ref="B83:C83"/>
    <mergeCell ref="B84:C84"/>
    <mergeCell ref="B85:C85"/>
    <mergeCell ref="B114:C114"/>
    <mergeCell ref="B115:C115"/>
    <mergeCell ref="B108:C108"/>
    <mergeCell ref="B109:C109"/>
    <mergeCell ref="B110:C110"/>
    <mergeCell ref="B111:C111"/>
    <mergeCell ref="B112:C112"/>
    <mergeCell ref="B113:C113"/>
    <mergeCell ref="B104:C104"/>
    <mergeCell ref="B105:C105"/>
    <mergeCell ref="B106:C106"/>
    <mergeCell ref="B107:C107"/>
    <mergeCell ref="B181:C181"/>
    <mergeCell ref="B182:C182"/>
    <mergeCell ref="B183:C183"/>
    <mergeCell ref="B184:C184"/>
    <mergeCell ref="A192:C192"/>
    <mergeCell ref="E192:H192"/>
    <mergeCell ref="A148:H148"/>
    <mergeCell ref="A149:H149"/>
    <mergeCell ref="B176:C176"/>
    <mergeCell ref="B177:C177"/>
    <mergeCell ref="B178:C178"/>
    <mergeCell ref="B179:C179"/>
    <mergeCell ref="A196:C196"/>
    <mergeCell ref="E196:H196"/>
    <mergeCell ref="A197:C197"/>
    <mergeCell ref="E197:H197"/>
    <mergeCell ref="A199:H199"/>
    <mergeCell ref="A201:A202"/>
    <mergeCell ref="B201:C202"/>
    <mergeCell ref="A193:C193"/>
    <mergeCell ref="E193:H193"/>
    <mergeCell ref="A194:C194"/>
    <mergeCell ref="E194:H194"/>
    <mergeCell ref="A195:C195"/>
    <mergeCell ref="E195:H195"/>
    <mergeCell ref="A238:H238"/>
    <mergeCell ref="B215:C215"/>
    <mergeCell ref="B216:C216"/>
    <mergeCell ref="B217:C217"/>
    <mergeCell ref="B218:C218"/>
    <mergeCell ref="B219:C219"/>
    <mergeCell ref="B220:C220"/>
    <mergeCell ref="B227:C227"/>
    <mergeCell ref="B228:C228"/>
    <mergeCell ref="B229:C229"/>
    <mergeCell ref="B230:C230"/>
    <mergeCell ref="B231:C231"/>
    <mergeCell ref="B232:C232"/>
    <mergeCell ref="B233:C233"/>
    <mergeCell ref="B234:C234"/>
    <mergeCell ref="B235:C235"/>
    <mergeCell ref="A239:H239"/>
    <mergeCell ref="C258:D258"/>
    <mergeCell ref="C249:D249"/>
    <mergeCell ref="C276:D276"/>
    <mergeCell ref="C267:D267"/>
    <mergeCell ref="C285:D285"/>
    <mergeCell ref="A292:H292"/>
    <mergeCell ref="A295:H295"/>
    <mergeCell ref="B297:C297"/>
    <mergeCell ref="A288:C288"/>
    <mergeCell ref="A289:C289"/>
    <mergeCell ref="A290:D290"/>
    <mergeCell ref="B304:C304"/>
    <mergeCell ref="B305:C305"/>
    <mergeCell ref="B306:C306"/>
    <mergeCell ref="B308:C308"/>
    <mergeCell ref="B309:C309"/>
    <mergeCell ref="B310:C310"/>
    <mergeCell ref="B298:C298"/>
    <mergeCell ref="B299:C299"/>
    <mergeCell ref="B300:C300"/>
    <mergeCell ref="B301:C301"/>
    <mergeCell ref="B302:C302"/>
    <mergeCell ref="B303:C303"/>
    <mergeCell ref="A329:H329"/>
    <mergeCell ref="A330:H330"/>
    <mergeCell ref="A331:H331"/>
    <mergeCell ref="A332:H332"/>
    <mergeCell ref="B311:C311"/>
    <mergeCell ref="B312:C312"/>
    <mergeCell ref="B313:C313"/>
    <mergeCell ref="B314:C314"/>
    <mergeCell ref="B315:C315"/>
    <mergeCell ref="B316:C316"/>
    <mergeCell ref="B319:C319"/>
    <mergeCell ref="B320:C320"/>
    <mergeCell ref="B321:C321"/>
    <mergeCell ref="B322:C322"/>
    <mergeCell ref="B323:C323"/>
    <mergeCell ref="B324:C324"/>
    <mergeCell ref="B325:C325"/>
    <mergeCell ref="B326:C326"/>
    <mergeCell ref="B327:C327"/>
    <mergeCell ref="A118:A119"/>
    <mergeCell ref="B118:C119"/>
    <mergeCell ref="B120:C120"/>
    <mergeCell ref="B121:C121"/>
    <mergeCell ref="B122:C122"/>
    <mergeCell ref="B126:C126"/>
    <mergeCell ref="B130:C130"/>
    <mergeCell ref="B131:C131"/>
    <mergeCell ref="B132:C132"/>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86:C186"/>
    <mergeCell ref="B187:C187"/>
    <mergeCell ref="B188:C188"/>
    <mergeCell ref="B189:C189"/>
    <mergeCell ref="A225:A226"/>
    <mergeCell ref="B225:C226"/>
    <mergeCell ref="B221:C221"/>
    <mergeCell ref="B222:C222"/>
    <mergeCell ref="B223:C223"/>
    <mergeCell ref="B209:C209"/>
    <mergeCell ref="B210:C210"/>
    <mergeCell ref="B211:C211"/>
    <mergeCell ref="B212:C212"/>
    <mergeCell ref="A213:A214"/>
    <mergeCell ref="B213:C214"/>
    <mergeCell ref="B203:C203"/>
    <mergeCell ref="B204:C204"/>
    <mergeCell ref="B205:C205"/>
    <mergeCell ref="B206:C206"/>
    <mergeCell ref="B207:C207"/>
    <mergeCell ref="B208:C208"/>
  </mergeCells>
  <pageMargins left="0.70866141732283472" right="0.51181102362204722" top="0.74803149606299213" bottom="0.74803149606299213" header="0.31496062992125984" footer="0.31496062992125984"/>
  <pageSetup paperSize="9" scale="74" orientation="portrait" verticalDpi="0" r:id="rId1"/>
  <headerFooter>
    <oddFooter>&amp;R&amp;N</oddFooter>
  </headerFooter>
</worksheet>
</file>

<file path=xl/worksheets/sheet6.xml><?xml version="1.0" encoding="utf-8"?>
<worksheet xmlns="http://schemas.openxmlformats.org/spreadsheetml/2006/main" xmlns:r="http://schemas.openxmlformats.org/officeDocument/2006/relationships">
  <dimension ref="A1:P324"/>
  <sheetViews>
    <sheetView zoomScale="115" zoomScaleNormal="115" zoomScaleSheetLayoutView="115" workbookViewId="0">
      <selection activeCell="H313" sqref="H313"/>
    </sheetView>
  </sheetViews>
  <sheetFormatPr defaultRowHeight="16.5"/>
  <cols>
    <col min="1" max="1" width="4.125" style="119" customWidth="1"/>
    <col min="2" max="2" width="28.25" style="119" customWidth="1"/>
    <col min="3" max="3" width="10.625" style="119" customWidth="1"/>
    <col min="4" max="4" width="12.625" style="119" customWidth="1"/>
    <col min="5" max="6" width="12.625" style="1" customWidth="1"/>
    <col min="7" max="7" width="12.625" style="4" customWidth="1"/>
    <col min="8" max="8" width="12.625" style="11" customWidth="1"/>
    <col min="9" max="9" width="9.875" style="1" hidden="1" customWidth="1"/>
    <col min="10" max="10" width="14.75" style="1" hidden="1" customWidth="1"/>
    <col min="11" max="11" width="16" style="1" hidden="1" customWidth="1"/>
    <col min="12" max="12" width="16.625" style="1" hidden="1" customWidth="1"/>
    <col min="13" max="13" width="15.75" style="1" hidden="1" customWidth="1"/>
    <col min="14" max="14" width="27" style="1" customWidth="1"/>
    <col min="15" max="15" width="21.125" style="1" customWidth="1"/>
    <col min="16" max="16" width="18.25" style="1" customWidth="1"/>
    <col min="17" max="16384" width="9" style="1"/>
  </cols>
  <sheetData>
    <row r="1" spans="1:8" ht="18.75">
      <c r="A1" s="325" t="s">
        <v>354</v>
      </c>
      <c r="B1" s="325"/>
      <c r="C1" s="325"/>
      <c r="D1" s="325"/>
      <c r="E1" s="325"/>
      <c r="F1" s="325"/>
      <c r="G1" s="325"/>
      <c r="H1" s="325"/>
    </row>
    <row r="2" spans="1:8">
      <c r="A2" s="314" t="s">
        <v>30</v>
      </c>
      <c r="B2" s="314"/>
      <c r="C2" s="314"/>
      <c r="D2" s="314"/>
      <c r="E2" s="314"/>
      <c r="F2" s="314"/>
      <c r="G2" s="314"/>
      <c r="H2" s="314"/>
    </row>
    <row r="3" spans="1:8" ht="51" customHeight="1">
      <c r="A3" s="318" t="s">
        <v>178</v>
      </c>
      <c r="B3" s="318"/>
      <c r="C3" s="318"/>
      <c r="D3" s="318"/>
      <c r="E3" s="318"/>
      <c r="F3" s="318"/>
      <c r="G3" s="318"/>
      <c r="H3" s="318"/>
    </row>
    <row r="4" spans="1:8" ht="17.100000000000001" customHeight="1">
      <c r="A4" s="318" t="s">
        <v>483</v>
      </c>
      <c r="B4" s="318"/>
      <c r="C4" s="318"/>
      <c r="D4" s="75">
        <v>15</v>
      </c>
      <c r="E4" s="129" t="s">
        <v>118</v>
      </c>
      <c r="F4" s="130"/>
      <c r="G4" s="130"/>
      <c r="H4" s="130"/>
    </row>
    <row r="5" spans="1:8" ht="17.100000000000001" customHeight="1">
      <c r="A5" s="318" t="s">
        <v>133</v>
      </c>
      <c r="B5" s="318"/>
      <c r="C5" s="318"/>
      <c r="D5" s="318"/>
      <c r="E5" s="318"/>
      <c r="F5" s="318"/>
      <c r="G5" s="318"/>
      <c r="H5" s="318"/>
    </row>
    <row r="6" spans="1:8" ht="17.100000000000001" customHeight="1">
      <c r="A6" s="318" t="s">
        <v>134</v>
      </c>
      <c r="B6" s="318"/>
      <c r="C6" s="76"/>
      <c r="D6" s="126"/>
      <c r="E6" s="126"/>
      <c r="F6" s="130"/>
      <c r="G6" s="130"/>
      <c r="H6" s="130"/>
    </row>
    <row r="7" spans="1:8" ht="17.100000000000001" customHeight="1">
      <c r="A7" s="318" t="s">
        <v>365</v>
      </c>
      <c r="B7" s="318"/>
      <c r="C7" s="318"/>
      <c r="D7" s="318"/>
      <c r="E7" s="318"/>
      <c r="F7" s="318"/>
      <c r="G7" s="318"/>
      <c r="H7" s="318"/>
    </row>
    <row r="8" spans="1:8" ht="17.100000000000001" customHeight="1">
      <c r="A8" s="318" t="s">
        <v>366</v>
      </c>
      <c r="B8" s="318"/>
      <c r="C8" s="318"/>
      <c r="D8" s="318"/>
      <c r="E8" s="318"/>
      <c r="F8" s="318"/>
      <c r="G8" s="318"/>
      <c r="H8" s="318"/>
    </row>
    <row r="9" spans="1:8" ht="17.100000000000001" customHeight="1">
      <c r="A9" s="318" t="s">
        <v>367</v>
      </c>
      <c r="B9" s="318"/>
      <c r="C9" s="318"/>
      <c r="D9" s="318"/>
      <c r="E9" s="318"/>
      <c r="F9" s="318"/>
      <c r="G9" s="318"/>
      <c r="H9" s="318"/>
    </row>
    <row r="10" spans="1:8" ht="17.100000000000001" customHeight="1">
      <c r="A10" s="318" t="s">
        <v>368</v>
      </c>
      <c r="B10" s="318"/>
      <c r="C10" s="318"/>
      <c r="D10" s="318"/>
      <c r="E10" s="318"/>
      <c r="F10" s="318"/>
      <c r="G10" s="318"/>
      <c r="H10" s="318"/>
    </row>
    <row r="11" spans="1:8" ht="17.100000000000001" customHeight="1">
      <c r="A11" s="318" t="s">
        <v>369</v>
      </c>
      <c r="B11" s="318"/>
      <c r="C11" s="318"/>
      <c r="D11" s="318"/>
      <c r="E11" s="318"/>
      <c r="F11" s="318"/>
      <c r="G11" s="318"/>
      <c r="H11" s="318"/>
    </row>
    <row r="12" spans="1:8" ht="17.100000000000001" customHeight="1">
      <c r="A12" s="318" t="s">
        <v>370</v>
      </c>
      <c r="B12" s="318"/>
      <c r="C12" s="318"/>
      <c r="D12" s="318"/>
      <c r="E12" s="318"/>
      <c r="F12" s="318"/>
      <c r="G12" s="318"/>
      <c r="H12" s="318"/>
    </row>
    <row r="13" spans="1:8" ht="17.100000000000001" customHeight="1">
      <c r="A13" s="318" t="s">
        <v>371</v>
      </c>
      <c r="B13" s="318"/>
      <c r="C13" s="318"/>
      <c r="D13" s="318"/>
      <c r="E13" s="318"/>
      <c r="F13" s="318"/>
      <c r="G13" s="318"/>
      <c r="H13" s="318"/>
    </row>
    <row r="14" spans="1:8" ht="17.25" customHeight="1">
      <c r="A14" s="318" t="s">
        <v>139</v>
      </c>
      <c r="B14" s="318"/>
      <c r="C14" s="318"/>
      <c r="D14" s="318"/>
      <c r="E14" s="318"/>
      <c r="F14" s="318"/>
      <c r="G14" s="318"/>
      <c r="H14" s="318"/>
    </row>
    <row r="15" spans="1:8" ht="32.25" customHeight="1">
      <c r="A15" s="318" t="s">
        <v>140</v>
      </c>
      <c r="B15" s="318"/>
      <c r="C15" s="318"/>
      <c r="D15" s="133">
        <v>0.2</v>
      </c>
      <c r="E15" s="129" t="s">
        <v>47</v>
      </c>
      <c r="F15" s="130"/>
      <c r="G15" s="130"/>
      <c r="H15" s="130"/>
    </row>
    <row r="16" spans="1:8" ht="18.75" customHeight="1">
      <c r="A16" s="318" t="s">
        <v>388</v>
      </c>
      <c r="B16" s="318"/>
      <c r="C16" s="318"/>
      <c r="D16" s="135">
        <v>0.01</v>
      </c>
      <c r="E16" s="129" t="s">
        <v>47</v>
      </c>
      <c r="F16" s="130"/>
      <c r="G16" s="130"/>
      <c r="H16" s="130"/>
    </row>
    <row r="17" spans="1:15" ht="19.5" customHeight="1">
      <c r="A17" s="318" t="s">
        <v>387</v>
      </c>
      <c r="B17" s="318"/>
      <c r="C17" s="318"/>
      <c r="D17" s="135">
        <v>0.02</v>
      </c>
      <c r="E17" s="129" t="s">
        <v>47</v>
      </c>
      <c r="F17" s="130"/>
      <c r="G17" s="130"/>
      <c r="H17" s="130"/>
    </row>
    <row r="18" spans="1:15" ht="19.5" customHeight="1">
      <c r="A18" s="318"/>
      <c r="B18" s="318"/>
      <c r="C18" s="318"/>
      <c r="D18" s="135"/>
      <c r="E18" s="129"/>
      <c r="F18" s="130"/>
      <c r="G18" s="130"/>
      <c r="H18" s="130"/>
    </row>
    <row r="19" spans="1:15">
      <c r="A19" s="314" t="s">
        <v>141</v>
      </c>
      <c r="B19" s="314"/>
      <c r="C19" s="314"/>
      <c r="D19" s="314"/>
      <c r="E19" s="314"/>
    </row>
    <row r="20" spans="1:15">
      <c r="A20" s="127" t="s">
        <v>372</v>
      </c>
      <c r="B20" s="120"/>
      <c r="C20" s="120"/>
      <c r="D20" s="120"/>
      <c r="E20" s="120"/>
    </row>
    <row r="21" spans="1:15">
      <c r="A21" s="127"/>
      <c r="B21" s="120"/>
      <c r="C21" s="120"/>
      <c r="D21" s="120"/>
      <c r="E21" s="120"/>
      <c r="G21" s="82" t="s">
        <v>60</v>
      </c>
      <c r="H21" s="30" t="s">
        <v>61</v>
      </c>
    </row>
    <row r="22" spans="1:15" ht="51.75" customHeight="1">
      <c r="A22" s="218" t="s">
        <v>1</v>
      </c>
      <c r="B22" s="218" t="s">
        <v>94</v>
      </c>
      <c r="C22" s="218" t="s">
        <v>143</v>
      </c>
      <c r="D22" s="218" t="s">
        <v>389</v>
      </c>
      <c r="E22" s="218" t="s">
        <v>378</v>
      </c>
      <c r="F22" s="218" t="s">
        <v>386</v>
      </c>
      <c r="G22" s="218" t="s">
        <v>380</v>
      </c>
      <c r="H22" s="218" t="s">
        <v>145</v>
      </c>
    </row>
    <row r="23" spans="1:15" ht="18" customHeight="1">
      <c r="A23" s="124">
        <v>1</v>
      </c>
      <c r="B23" s="219" t="s">
        <v>376</v>
      </c>
      <c r="C23" s="219"/>
      <c r="D23" s="219"/>
      <c r="E23" s="124"/>
      <c r="F23" s="80"/>
      <c r="G23" s="77"/>
      <c r="H23" s="17"/>
    </row>
    <row r="24" spans="1:15" ht="18" customHeight="1">
      <c r="A24" s="124"/>
      <c r="B24" s="150" t="s">
        <v>374</v>
      </c>
      <c r="C24" s="124" t="s">
        <v>373</v>
      </c>
      <c r="D24" s="124">
        <v>80</v>
      </c>
      <c r="E24" s="124">
        <f>27*12</f>
        <v>324</v>
      </c>
      <c r="F24" s="80">
        <f>E24*D24</f>
        <v>25920</v>
      </c>
      <c r="G24" s="79">
        <v>95</v>
      </c>
      <c r="H24" s="17">
        <f t="shared" ref="H24:H30" si="0">G24*F24</f>
        <v>2462400</v>
      </c>
    </row>
    <row r="25" spans="1:15" ht="18" customHeight="1">
      <c r="A25" s="124"/>
      <c r="B25" s="150" t="s">
        <v>375</v>
      </c>
      <c r="C25" s="124" t="s">
        <v>373</v>
      </c>
      <c r="D25" s="124">
        <v>70</v>
      </c>
      <c r="E25" s="124">
        <f>E24</f>
        <v>324</v>
      </c>
      <c r="F25" s="80">
        <f>E25*D25</f>
        <v>22680</v>
      </c>
      <c r="G25" s="79">
        <v>250</v>
      </c>
      <c r="H25" s="17">
        <f t="shared" si="0"/>
        <v>5670000</v>
      </c>
    </row>
    <row r="26" spans="1:15" ht="18" customHeight="1">
      <c r="A26" s="124">
        <v>2</v>
      </c>
      <c r="B26" s="219" t="s">
        <v>379</v>
      </c>
      <c r="C26" s="124" t="s">
        <v>373</v>
      </c>
      <c r="D26" s="124">
        <v>70</v>
      </c>
      <c r="E26" s="124">
        <f>E25</f>
        <v>324</v>
      </c>
      <c r="F26" s="80">
        <f t="shared" ref="F26:F30" si="1">E26*D26</f>
        <v>22680</v>
      </c>
      <c r="G26" s="79">
        <v>130</v>
      </c>
      <c r="H26" s="17">
        <f t="shared" si="0"/>
        <v>2948400</v>
      </c>
    </row>
    <row r="27" spans="1:15" ht="18" customHeight="1">
      <c r="A27" s="124">
        <v>3</v>
      </c>
      <c r="B27" s="219" t="s">
        <v>381</v>
      </c>
      <c r="C27" s="124" t="s">
        <v>382</v>
      </c>
      <c r="D27" s="124">
        <v>300</v>
      </c>
      <c r="E27" s="124">
        <v>360</v>
      </c>
      <c r="F27" s="80">
        <f t="shared" si="1"/>
        <v>108000</v>
      </c>
      <c r="G27" s="79">
        <v>20</v>
      </c>
      <c r="H27" s="17">
        <f t="shared" si="0"/>
        <v>2160000</v>
      </c>
      <c r="O27" s="138"/>
    </row>
    <row r="28" spans="1:15" ht="18" customHeight="1">
      <c r="A28" s="124">
        <v>4</v>
      </c>
      <c r="B28" s="219" t="s">
        <v>383</v>
      </c>
      <c r="C28" s="124" t="s">
        <v>382</v>
      </c>
      <c r="D28" s="124">
        <v>200</v>
      </c>
      <c r="E28" s="124">
        <f>E27</f>
        <v>360</v>
      </c>
      <c r="F28" s="80">
        <f t="shared" si="1"/>
        <v>72000</v>
      </c>
      <c r="G28" s="79">
        <v>5</v>
      </c>
      <c r="H28" s="17">
        <f t="shared" si="0"/>
        <v>360000</v>
      </c>
    </row>
    <row r="29" spans="1:15" ht="18" customHeight="1">
      <c r="A29" s="124">
        <v>5</v>
      </c>
      <c r="B29" s="219" t="s">
        <v>384</v>
      </c>
      <c r="C29" s="124" t="s">
        <v>382</v>
      </c>
      <c r="D29" s="124">
        <v>20</v>
      </c>
      <c r="E29" s="124">
        <f>E24</f>
        <v>324</v>
      </c>
      <c r="F29" s="80">
        <f t="shared" si="1"/>
        <v>6480</v>
      </c>
      <c r="G29" s="79">
        <v>50</v>
      </c>
      <c r="H29" s="17">
        <f t="shared" si="0"/>
        <v>324000</v>
      </c>
    </row>
    <row r="30" spans="1:15" ht="18" customHeight="1">
      <c r="A30" s="124">
        <v>6</v>
      </c>
      <c r="B30" s="219" t="s">
        <v>215</v>
      </c>
      <c r="C30" s="124" t="s">
        <v>382</v>
      </c>
      <c r="D30" s="124">
        <v>10</v>
      </c>
      <c r="E30" s="124">
        <f>E28</f>
        <v>360</v>
      </c>
      <c r="F30" s="80">
        <f t="shared" si="1"/>
        <v>3600</v>
      </c>
      <c r="G30" s="79">
        <v>140</v>
      </c>
      <c r="H30" s="17">
        <f t="shared" si="0"/>
        <v>504000</v>
      </c>
    </row>
    <row r="31" spans="1:15" ht="18" customHeight="1">
      <c r="A31" s="124">
        <v>7</v>
      </c>
      <c r="B31" s="219" t="s">
        <v>385</v>
      </c>
      <c r="C31" s="124" t="s">
        <v>70</v>
      </c>
      <c r="D31" s="219"/>
      <c r="E31" s="124"/>
      <c r="F31" s="80">
        <v>12</v>
      </c>
      <c r="G31" s="78">
        <v>10000</v>
      </c>
      <c r="H31" s="17">
        <f>G31*F31</f>
        <v>120000</v>
      </c>
    </row>
    <row r="32" spans="1:15" ht="18" customHeight="1">
      <c r="A32" s="124"/>
      <c r="B32" s="316" t="s">
        <v>152</v>
      </c>
      <c r="C32" s="316"/>
      <c r="D32" s="316"/>
      <c r="E32" s="128"/>
      <c r="F32" s="15"/>
      <c r="G32" s="18"/>
      <c r="H32" s="81">
        <f>SUM(H23:H30)</f>
        <v>14428800</v>
      </c>
    </row>
    <row r="33" spans="1:13">
      <c r="A33" s="318"/>
      <c r="B33" s="318"/>
      <c r="C33" s="318"/>
      <c r="D33" s="136"/>
      <c r="E33" s="127"/>
      <c r="F33" s="120"/>
      <c r="G33" s="1"/>
    </row>
    <row r="34" spans="1:13">
      <c r="A34" s="127" t="s">
        <v>156</v>
      </c>
      <c r="B34" s="120"/>
      <c r="C34" s="120"/>
      <c r="D34" s="120"/>
      <c r="E34" s="120"/>
    </row>
    <row r="35" spans="1:13" ht="18.75" customHeight="1">
      <c r="A35" s="120" t="s">
        <v>159</v>
      </c>
      <c r="B35" s="120"/>
      <c r="C35" s="120"/>
      <c r="D35" s="120"/>
      <c r="E35" s="120"/>
      <c r="G35" s="82"/>
      <c r="H35" s="30"/>
    </row>
    <row r="36" spans="1:13" ht="18" customHeight="1">
      <c r="A36" s="118" t="s">
        <v>1</v>
      </c>
      <c r="B36" s="121" t="s">
        <v>158</v>
      </c>
      <c r="C36" s="118" t="s">
        <v>143</v>
      </c>
      <c r="D36" s="118" t="s">
        <v>33</v>
      </c>
      <c r="E36" s="118" t="s">
        <v>34</v>
      </c>
      <c r="F36" s="118" t="s">
        <v>35</v>
      </c>
      <c r="G36" s="118" t="s">
        <v>36</v>
      </c>
      <c r="H36" s="118" t="s">
        <v>37</v>
      </c>
    </row>
    <row r="37" spans="1:13" ht="18" customHeight="1">
      <c r="A37" s="118"/>
      <c r="B37" s="99" t="s">
        <v>160</v>
      </c>
      <c r="C37" s="124"/>
      <c r="D37" s="109">
        <v>0</v>
      </c>
      <c r="E37" s="109">
        <f>D16</f>
        <v>0.01</v>
      </c>
      <c r="F37" s="109">
        <f>E37</f>
        <v>0.01</v>
      </c>
      <c r="G37" s="109">
        <f t="shared" ref="G37:H37" si="2">F37</f>
        <v>0.01</v>
      </c>
      <c r="H37" s="109">
        <f t="shared" si="2"/>
        <v>0.01</v>
      </c>
    </row>
    <row r="38" spans="1:13" ht="18" customHeight="1">
      <c r="A38" s="124">
        <v>1</v>
      </c>
      <c r="B38" s="219" t="s">
        <v>376</v>
      </c>
      <c r="D38" s="23"/>
      <c r="E38" s="23"/>
      <c r="F38" s="23"/>
      <c r="G38" s="23"/>
      <c r="H38" s="23"/>
    </row>
    <row r="39" spans="1:13" ht="18" customHeight="1">
      <c r="A39" s="124"/>
      <c r="B39" s="150" t="s">
        <v>374</v>
      </c>
      <c r="C39" s="124" t="s">
        <v>373</v>
      </c>
      <c r="D39" s="23">
        <f t="shared" ref="D39:D46" si="3">F24</f>
        <v>25920</v>
      </c>
      <c r="E39" s="23">
        <f>D39*(1+E$37)</f>
        <v>26179.200000000001</v>
      </c>
      <c r="F39" s="23">
        <f t="shared" ref="F39:H39" si="4">E39*(1+F$37)</f>
        <v>26440.992000000002</v>
      </c>
      <c r="G39" s="23">
        <f t="shared" si="4"/>
        <v>26705.401920000004</v>
      </c>
      <c r="H39" s="23">
        <f t="shared" si="4"/>
        <v>26972.455939200005</v>
      </c>
    </row>
    <row r="40" spans="1:13" ht="18" customHeight="1">
      <c r="A40" s="124"/>
      <c r="B40" s="150" t="s">
        <v>375</v>
      </c>
      <c r="C40" s="124" t="s">
        <v>373</v>
      </c>
      <c r="D40" s="23">
        <f t="shared" si="3"/>
        <v>22680</v>
      </c>
      <c r="E40" s="23">
        <f t="shared" ref="E40:H40" si="5">D40*(1+E$37)</f>
        <v>22906.799999999999</v>
      </c>
      <c r="F40" s="23">
        <f t="shared" si="5"/>
        <v>23135.867999999999</v>
      </c>
      <c r="G40" s="23">
        <f t="shared" si="5"/>
        <v>23367.22668</v>
      </c>
      <c r="H40" s="23">
        <f t="shared" si="5"/>
        <v>23600.8989468</v>
      </c>
    </row>
    <row r="41" spans="1:13" ht="18" customHeight="1">
      <c r="A41" s="124">
        <v>2</v>
      </c>
      <c r="B41" s="219" t="s">
        <v>379</v>
      </c>
      <c r="C41" s="124" t="s">
        <v>373</v>
      </c>
      <c r="D41" s="23">
        <f t="shared" si="3"/>
        <v>22680</v>
      </c>
      <c r="E41" s="23">
        <f t="shared" ref="E41:H41" si="6">D41*(1+E$37)</f>
        <v>22906.799999999999</v>
      </c>
      <c r="F41" s="23">
        <f t="shared" si="6"/>
        <v>23135.867999999999</v>
      </c>
      <c r="G41" s="23">
        <f t="shared" si="6"/>
        <v>23367.22668</v>
      </c>
      <c r="H41" s="23">
        <f t="shared" si="6"/>
        <v>23600.8989468</v>
      </c>
    </row>
    <row r="42" spans="1:13" ht="18" customHeight="1">
      <c r="A42" s="124">
        <v>3</v>
      </c>
      <c r="B42" s="219" t="s">
        <v>381</v>
      </c>
      <c r="C42" s="124" t="s">
        <v>382</v>
      </c>
      <c r="D42" s="23">
        <f t="shared" si="3"/>
        <v>108000</v>
      </c>
      <c r="E42" s="23">
        <f t="shared" ref="E42:H42" si="7">D42*(1+E$37)</f>
        <v>109080</v>
      </c>
      <c r="F42" s="23">
        <f t="shared" si="7"/>
        <v>110170.8</v>
      </c>
      <c r="G42" s="23">
        <f t="shared" si="7"/>
        <v>111272.508</v>
      </c>
      <c r="H42" s="23">
        <f t="shared" si="7"/>
        <v>112385.23308000001</v>
      </c>
    </row>
    <row r="43" spans="1:13" ht="18" customHeight="1">
      <c r="A43" s="124">
        <v>4</v>
      </c>
      <c r="B43" s="219" t="s">
        <v>383</v>
      </c>
      <c r="C43" s="124" t="s">
        <v>382</v>
      </c>
      <c r="D43" s="23">
        <f t="shared" si="3"/>
        <v>72000</v>
      </c>
      <c r="E43" s="23">
        <f t="shared" ref="E43:H43" si="8">D43*(1+E$37)</f>
        <v>72720</v>
      </c>
      <c r="F43" s="23">
        <f t="shared" si="8"/>
        <v>73447.199999999997</v>
      </c>
      <c r="G43" s="23">
        <f t="shared" si="8"/>
        <v>74181.671999999991</v>
      </c>
      <c r="H43" s="23">
        <f t="shared" si="8"/>
        <v>74923.488719999994</v>
      </c>
    </row>
    <row r="44" spans="1:13" ht="18" customHeight="1">
      <c r="A44" s="124">
        <v>5</v>
      </c>
      <c r="B44" s="219" t="s">
        <v>384</v>
      </c>
      <c r="C44" s="124" t="s">
        <v>382</v>
      </c>
      <c r="D44" s="23">
        <f t="shared" si="3"/>
        <v>6480</v>
      </c>
      <c r="E44" s="23">
        <f t="shared" ref="E44:H44" si="9">D44*(1+E$37)</f>
        <v>6544.8</v>
      </c>
      <c r="F44" s="23">
        <f t="shared" si="9"/>
        <v>6610.2480000000005</v>
      </c>
      <c r="G44" s="23">
        <f t="shared" si="9"/>
        <v>6676.350480000001</v>
      </c>
      <c r="H44" s="23">
        <f t="shared" si="9"/>
        <v>6743.1139848000012</v>
      </c>
    </row>
    <row r="45" spans="1:13" ht="18" customHeight="1">
      <c r="A45" s="124">
        <v>6</v>
      </c>
      <c r="B45" s="219" t="s">
        <v>215</v>
      </c>
      <c r="C45" s="124" t="s">
        <v>277</v>
      </c>
      <c r="D45" s="23">
        <f t="shared" si="3"/>
        <v>3600</v>
      </c>
      <c r="E45" s="23">
        <f t="shared" ref="E45:H45" si="10">D45*(1+E$37)</f>
        <v>3636</v>
      </c>
      <c r="F45" s="23">
        <f t="shared" si="10"/>
        <v>3672.36</v>
      </c>
      <c r="G45" s="23">
        <f t="shared" si="10"/>
        <v>3709.0836000000004</v>
      </c>
      <c r="H45" s="23">
        <f t="shared" si="10"/>
        <v>3746.1744360000002</v>
      </c>
    </row>
    <row r="46" spans="1:13" ht="18" customHeight="1">
      <c r="A46" s="124">
        <v>7</v>
      </c>
      <c r="B46" s="219" t="s">
        <v>385</v>
      </c>
      <c r="C46" s="124" t="s">
        <v>70</v>
      </c>
      <c r="D46" s="23">
        <f t="shared" si="3"/>
        <v>12</v>
      </c>
      <c r="E46" s="23">
        <f>D46</f>
        <v>12</v>
      </c>
      <c r="F46" s="23">
        <f>D46</f>
        <v>12</v>
      </c>
      <c r="G46" s="23">
        <f>D46</f>
        <v>12</v>
      </c>
      <c r="H46" s="23">
        <f>D46</f>
        <v>12</v>
      </c>
    </row>
    <row r="47" spans="1:13" ht="25.5" customHeight="1">
      <c r="A47" s="126"/>
      <c r="B47" s="126"/>
      <c r="C47" s="126"/>
      <c r="D47" s="136"/>
      <c r="E47" s="127"/>
      <c r="F47" s="120"/>
      <c r="G47" s="1"/>
    </row>
    <row r="48" spans="1:13" ht="18" customHeight="1">
      <c r="A48" s="118" t="s">
        <v>1</v>
      </c>
      <c r="B48" s="121" t="s">
        <v>158</v>
      </c>
      <c r="C48" s="118" t="s">
        <v>143</v>
      </c>
      <c r="D48" s="118" t="s">
        <v>50</v>
      </c>
      <c r="E48" s="118" t="s">
        <v>51</v>
      </c>
      <c r="F48" s="118" t="s">
        <v>52</v>
      </c>
      <c r="G48" s="118" t="s">
        <v>53</v>
      </c>
      <c r="H48" s="118" t="s">
        <v>54</v>
      </c>
      <c r="I48" s="118" t="s">
        <v>55</v>
      </c>
      <c r="J48" s="118" t="s">
        <v>56</v>
      </c>
      <c r="K48" s="118" t="s">
        <v>57</v>
      </c>
      <c r="L48" s="118" t="s">
        <v>58</v>
      </c>
      <c r="M48" s="118" t="s">
        <v>59</v>
      </c>
    </row>
    <row r="49" spans="1:13" ht="18" customHeight="1">
      <c r="A49" s="118"/>
      <c r="B49" s="99" t="s">
        <v>160</v>
      </c>
      <c r="C49" s="124"/>
      <c r="D49" s="304">
        <f>H37</f>
        <v>0.01</v>
      </c>
      <c r="E49" s="304">
        <f>D49</f>
        <v>0.01</v>
      </c>
      <c r="F49" s="304">
        <f t="shared" ref="F49:H49" si="11">E49</f>
        <v>0.01</v>
      </c>
      <c r="G49" s="304">
        <f t="shared" si="11"/>
        <v>0.01</v>
      </c>
      <c r="H49" s="304">
        <f t="shared" si="11"/>
        <v>0.01</v>
      </c>
    </row>
    <row r="50" spans="1:13" ht="18" customHeight="1">
      <c r="A50" s="124">
        <v>1</v>
      </c>
      <c r="B50" s="219" t="s">
        <v>376</v>
      </c>
      <c r="D50" s="23"/>
      <c r="E50" s="23"/>
      <c r="F50" s="23"/>
      <c r="G50" s="23"/>
      <c r="H50" s="23"/>
    </row>
    <row r="51" spans="1:13" ht="18" customHeight="1">
      <c r="A51" s="124"/>
      <c r="B51" s="150" t="s">
        <v>374</v>
      </c>
      <c r="C51" s="124" t="s">
        <v>373</v>
      </c>
      <c r="D51" s="23">
        <f>H39*(1+D$49)</f>
        <v>27242.180498592006</v>
      </c>
      <c r="E51" s="23">
        <f>D51*(1+E$49)</f>
        <v>27514.602303577925</v>
      </c>
      <c r="F51" s="23">
        <f t="shared" ref="F51:H51" si="12">E51*(1+F$49)</f>
        <v>27789.748326613706</v>
      </c>
      <c r="G51" s="23">
        <f t="shared" si="12"/>
        <v>28067.645809879843</v>
      </c>
      <c r="H51" s="23">
        <f t="shared" si="12"/>
        <v>28348.322267978641</v>
      </c>
    </row>
    <row r="52" spans="1:13" ht="18" customHeight="1">
      <c r="A52" s="124"/>
      <c r="B52" s="150" t="s">
        <v>375</v>
      </c>
      <c r="C52" s="124" t="s">
        <v>373</v>
      </c>
      <c r="D52" s="23">
        <f t="shared" ref="D52:D57" si="13">H40*(1+D$49)</f>
        <v>23836.907936267999</v>
      </c>
      <c r="E52" s="23">
        <f t="shared" ref="E52:H52" si="14">D52*(1+E$49)</f>
        <v>24075.27701563068</v>
      </c>
      <c r="F52" s="23">
        <f t="shared" si="14"/>
        <v>24316.029785786988</v>
      </c>
      <c r="G52" s="23">
        <f t="shared" si="14"/>
        <v>24559.190083644859</v>
      </c>
      <c r="H52" s="23">
        <f t="shared" si="14"/>
        <v>24804.781984481306</v>
      </c>
    </row>
    <row r="53" spans="1:13" ht="18" customHeight="1">
      <c r="A53" s="124">
        <v>2</v>
      </c>
      <c r="B53" s="219" t="s">
        <v>379</v>
      </c>
      <c r="C53" s="124" t="s">
        <v>373</v>
      </c>
      <c r="D53" s="23">
        <f t="shared" si="13"/>
        <v>23836.907936267999</v>
      </c>
      <c r="E53" s="23">
        <f t="shared" ref="E53:H53" si="15">D53*(1+E$49)</f>
        <v>24075.27701563068</v>
      </c>
      <c r="F53" s="23">
        <f t="shared" si="15"/>
        <v>24316.029785786988</v>
      </c>
      <c r="G53" s="23">
        <f t="shared" si="15"/>
        <v>24559.190083644859</v>
      </c>
      <c r="H53" s="23">
        <f t="shared" si="15"/>
        <v>24804.781984481306</v>
      </c>
    </row>
    <row r="54" spans="1:13" ht="18" customHeight="1">
      <c r="A54" s="124">
        <v>3</v>
      </c>
      <c r="B54" s="219" t="s">
        <v>381</v>
      </c>
      <c r="C54" s="124" t="s">
        <v>382</v>
      </c>
      <c r="D54" s="23">
        <f t="shared" si="13"/>
        <v>113509.08541080001</v>
      </c>
      <c r="E54" s="23">
        <f t="shared" ref="E54:H54" si="16">D54*(1+E$49)</f>
        <v>114644.176264908</v>
      </c>
      <c r="F54" s="23">
        <f t="shared" si="16"/>
        <v>115790.61802755708</v>
      </c>
      <c r="G54" s="23">
        <f t="shared" si="16"/>
        <v>116948.52420783266</v>
      </c>
      <c r="H54" s="23">
        <f t="shared" si="16"/>
        <v>118118.00944991098</v>
      </c>
    </row>
    <row r="55" spans="1:13" ht="18" customHeight="1">
      <c r="A55" s="124">
        <v>4</v>
      </c>
      <c r="B55" s="219" t="s">
        <v>383</v>
      </c>
      <c r="C55" s="124" t="s">
        <v>382</v>
      </c>
      <c r="D55" s="23">
        <f t="shared" si="13"/>
        <v>75672.723607199994</v>
      </c>
      <c r="E55" s="23">
        <f t="shared" ref="E55:H55" si="17">D55*(1+E$49)</f>
        <v>76429.450843271989</v>
      </c>
      <c r="F55" s="23">
        <f t="shared" si="17"/>
        <v>77193.745351704711</v>
      </c>
      <c r="G55" s="23">
        <f t="shared" si="17"/>
        <v>77965.682805221761</v>
      </c>
      <c r="H55" s="23">
        <f t="shared" si="17"/>
        <v>78745.339633273979</v>
      </c>
    </row>
    <row r="56" spans="1:13" ht="18" customHeight="1">
      <c r="A56" s="124">
        <v>5</v>
      </c>
      <c r="B56" s="219" t="s">
        <v>384</v>
      </c>
      <c r="C56" s="124" t="s">
        <v>382</v>
      </c>
      <c r="D56" s="23">
        <f t="shared" si="13"/>
        <v>6810.5451246480015</v>
      </c>
      <c r="E56" s="23">
        <f t="shared" ref="E56:H56" si="18">D56*(1+E$49)</f>
        <v>6878.6505758944813</v>
      </c>
      <c r="F56" s="23">
        <f t="shared" si="18"/>
        <v>6947.4370816534265</v>
      </c>
      <c r="G56" s="23">
        <f t="shared" si="18"/>
        <v>7016.9114524699608</v>
      </c>
      <c r="H56" s="23">
        <f t="shared" si="18"/>
        <v>7087.0805669946603</v>
      </c>
    </row>
    <row r="57" spans="1:13" ht="18" customHeight="1">
      <c r="A57" s="124">
        <v>6</v>
      </c>
      <c r="B57" s="219" t="s">
        <v>215</v>
      </c>
      <c r="C57" s="124" t="s">
        <v>277</v>
      </c>
      <c r="D57" s="23">
        <f t="shared" si="13"/>
        <v>3783.6361803600003</v>
      </c>
      <c r="E57" s="23">
        <f t="shared" ref="E57:H57" si="19">D57*(1+E$49)</f>
        <v>3821.4725421636003</v>
      </c>
      <c r="F57" s="23">
        <f t="shared" si="19"/>
        <v>3859.6872675852364</v>
      </c>
      <c r="G57" s="23">
        <f t="shared" si="19"/>
        <v>3898.2841402610889</v>
      </c>
      <c r="H57" s="23">
        <f t="shared" si="19"/>
        <v>3937.2669816636999</v>
      </c>
    </row>
    <row r="58" spans="1:13" ht="18" customHeight="1">
      <c r="A58" s="124">
        <v>7</v>
      </c>
      <c r="B58" s="219" t="s">
        <v>385</v>
      </c>
      <c r="C58" s="124" t="s">
        <v>70</v>
      </c>
      <c r="D58" s="23">
        <f>D46</f>
        <v>12</v>
      </c>
      <c r="E58" s="23">
        <f>D58</f>
        <v>12</v>
      </c>
      <c r="F58" s="23">
        <f>D58</f>
        <v>12</v>
      </c>
      <c r="G58" s="23">
        <f>D58</f>
        <v>12</v>
      </c>
      <c r="H58" s="23">
        <f>D58</f>
        <v>12</v>
      </c>
    </row>
    <row r="59" spans="1:13">
      <c r="A59" s="126"/>
      <c r="B59" s="126"/>
      <c r="C59" s="126"/>
      <c r="D59" s="136"/>
      <c r="E59" s="127"/>
      <c r="F59" s="120"/>
      <c r="G59" s="1"/>
    </row>
    <row r="60" spans="1:13">
      <c r="A60" s="221" t="s">
        <v>1</v>
      </c>
      <c r="B60" s="224" t="s">
        <v>158</v>
      </c>
      <c r="C60" s="221" t="s">
        <v>143</v>
      </c>
      <c r="D60" s="221" t="s">
        <v>55</v>
      </c>
      <c r="E60" s="221" t="s">
        <v>56</v>
      </c>
      <c r="F60" s="221" t="s">
        <v>57</v>
      </c>
      <c r="G60" s="221" t="s">
        <v>58</v>
      </c>
      <c r="H60" s="221" t="s">
        <v>59</v>
      </c>
      <c r="I60" s="221" t="s">
        <v>107</v>
      </c>
      <c r="J60" s="221" t="s">
        <v>108</v>
      </c>
      <c r="K60" s="221" t="s">
        <v>109</v>
      </c>
      <c r="L60" s="221" t="s">
        <v>110</v>
      </c>
      <c r="M60" s="221" t="s">
        <v>111</v>
      </c>
    </row>
    <row r="61" spans="1:13">
      <c r="A61" s="221"/>
      <c r="B61" s="99" t="s">
        <v>160</v>
      </c>
      <c r="C61" s="176"/>
      <c r="D61" s="304">
        <f>H49</f>
        <v>0.01</v>
      </c>
      <c r="E61" s="304">
        <f>D61</f>
        <v>0.01</v>
      </c>
      <c r="F61" s="304">
        <f t="shared" ref="F61:H61" si="20">E61</f>
        <v>0.01</v>
      </c>
      <c r="G61" s="304">
        <f t="shared" si="20"/>
        <v>0.01</v>
      </c>
      <c r="H61" s="304">
        <f t="shared" si="20"/>
        <v>0.01</v>
      </c>
    </row>
    <row r="62" spans="1:13">
      <c r="A62" s="176">
        <v>1</v>
      </c>
      <c r="B62" s="219" t="s">
        <v>376</v>
      </c>
      <c r="C62" s="222"/>
      <c r="D62" s="23"/>
      <c r="E62" s="23"/>
      <c r="F62" s="23"/>
      <c r="G62" s="23"/>
      <c r="H62" s="23"/>
    </row>
    <row r="63" spans="1:13">
      <c r="A63" s="176"/>
      <c r="B63" s="150" t="s">
        <v>374</v>
      </c>
      <c r="C63" s="176" t="s">
        <v>373</v>
      </c>
      <c r="D63" s="23">
        <f>H51*(1+D$61)</f>
        <v>28631.805490658429</v>
      </c>
      <c r="E63" s="23">
        <f>D63*(1+E$61)</f>
        <v>28918.123545565013</v>
      </c>
      <c r="F63" s="23">
        <f t="shared" ref="F63:H63" si="21">E63*(1+F$61)</f>
        <v>29207.304781020663</v>
      </c>
      <c r="G63" s="23">
        <f t="shared" si="21"/>
        <v>29499.377828830871</v>
      </c>
      <c r="H63" s="23">
        <f t="shared" si="21"/>
        <v>29794.371607119181</v>
      </c>
    </row>
    <row r="64" spans="1:13">
      <c r="A64" s="176"/>
      <c r="B64" s="150" t="s">
        <v>375</v>
      </c>
      <c r="C64" s="176" t="s">
        <v>373</v>
      </c>
      <c r="D64" s="23">
        <f t="shared" ref="D64:D69" si="22">H52*(1+D$61)</f>
        <v>25052.82980432612</v>
      </c>
      <c r="E64" s="23">
        <f t="shared" ref="E64:H64" si="23">D64*(1+E$61)</f>
        <v>25303.358102369381</v>
      </c>
      <c r="F64" s="23">
        <f t="shared" si="23"/>
        <v>25556.391683393074</v>
      </c>
      <c r="G64" s="23">
        <f t="shared" si="23"/>
        <v>25811.955600227004</v>
      </c>
      <c r="H64" s="23">
        <f t="shared" si="23"/>
        <v>26070.075156229275</v>
      </c>
    </row>
    <row r="65" spans="1:8">
      <c r="A65" s="176">
        <v>2</v>
      </c>
      <c r="B65" s="219" t="s">
        <v>379</v>
      </c>
      <c r="C65" s="176" t="s">
        <v>373</v>
      </c>
      <c r="D65" s="23">
        <f t="shared" si="22"/>
        <v>25052.82980432612</v>
      </c>
      <c r="E65" s="23">
        <f t="shared" ref="E65:H65" si="24">D65*(1+E$61)</f>
        <v>25303.358102369381</v>
      </c>
      <c r="F65" s="23">
        <f t="shared" si="24"/>
        <v>25556.391683393074</v>
      </c>
      <c r="G65" s="23">
        <f t="shared" si="24"/>
        <v>25811.955600227004</v>
      </c>
      <c r="H65" s="23">
        <f t="shared" si="24"/>
        <v>26070.075156229275</v>
      </c>
    </row>
    <row r="66" spans="1:8">
      <c r="A66" s="176">
        <v>3</v>
      </c>
      <c r="B66" s="219" t="s">
        <v>381</v>
      </c>
      <c r="C66" s="176" t="s">
        <v>382</v>
      </c>
      <c r="D66" s="23">
        <f t="shared" si="22"/>
        <v>119299.1895444101</v>
      </c>
      <c r="E66" s="23">
        <f t="shared" ref="E66:H66" si="25">D66*(1+E$61)</f>
        <v>120492.1814398542</v>
      </c>
      <c r="F66" s="23">
        <f t="shared" si="25"/>
        <v>121697.10325425275</v>
      </c>
      <c r="G66" s="23">
        <f t="shared" si="25"/>
        <v>122914.07428679528</v>
      </c>
      <c r="H66" s="23">
        <f t="shared" si="25"/>
        <v>124143.21502966323</v>
      </c>
    </row>
    <row r="67" spans="1:8">
      <c r="A67" s="176">
        <v>4</v>
      </c>
      <c r="B67" s="219" t="s">
        <v>383</v>
      </c>
      <c r="C67" s="176" t="s">
        <v>382</v>
      </c>
      <c r="D67" s="23">
        <f t="shared" si="22"/>
        <v>79532.793029606721</v>
      </c>
      <c r="E67" s="23">
        <f t="shared" ref="E67:H67" si="26">D67*(1+E$61)</f>
        <v>80328.120959902793</v>
      </c>
      <c r="F67" s="23">
        <f t="shared" si="26"/>
        <v>81131.402169501816</v>
      </c>
      <c r="G67" s="23">
        <f t="shared" si="26"/>
        <v>81942.716191196829</v>
      </c>
      <c r="H67" s="23">
        <f t="shared" si="26"/>
        <v>82762.143353108797</v>
      </c>
    </row>
    <row r="68" spans="1:8">
      <c r="A68" s="176">
        <v>5</v>
      </c>
      <c r="B68" s="219" t="s">
        <v>384</v>
      </c>
      <c r="C68" s="176" t="s">
        <v>382</v>
      </c>
      <c r="D68" s="23">
        <f t="shared" si="22"/>
        <v>7157.9513726646073</v>
      </c>
      <c r="E68" s="23">
        <f t="shared" ref="E68:H68" si="27">D68*(1+E$61)</f>
        <v>7229.5308863912533</v>
      </c>
      <c r="F68" s="23">
        <f t="shared" si="27"/>
        <v>7301.8261952551657</v>
      </c>
      <c r="G68" s="23">
        <f t="shared" si="27"/>
        <v>7374.8444572077178</v>
      </c>
      <c r="H68" s="23">
        <f t="shared" si="27"/>
        <v>7448.5929017797953</v>
      </c>
    </row>
    <row r="69" spans="1:8">
      <c r="A69" s="176">
        <v>6</v>
      </c>
      <c r="B69" s="219" t="s">
        <v>215</v>
      </c>
      <c r="C69" s="176" t="s">
        <v>277</v>
      </c>
      <c r="D69" s="23">
        <f t="shared" si="22"/>
        <v>3976.6396514803369</v>
      </c>
      <c r="E69" s="23">
        <f t="shared" ref="E69:H69" si="28">D69*(1+E$61)</f>
        <v>4016.4060479951404</v>
      </c>
      <c r="F69" s="23">
        <f t="shared" si="28"/>
        <v>4056.5701084750917</v>
      </c>
      <c r="G69" s="23">
        <f t="shared" si="28"/>
        <v>4097.1358095598425</v>
      </c>
      <c r="H69" s="23">
        <f t="shared" si="28"/>
        <v>4138.1071676554411</v>
      </c>
    </row>
    <row r="70" spans="1:8">
      <c r="A70" s="176">
        <v>7</v>
      </c>
      <c r="B70" s="219" t="s">
        <v>385</v>
      </c>
      <c r="C70" s="176" t="s">
        <v>70</v>
      </c>
      <c r="D70" s="23">
        <f>D58</f>
        <v>12</v>
      </c>
      <c r="E70" s="23">
        <f>D70</f>
        <v>12</v>
      </c>
      <c r="F70" s="23">
        <f>D70</f>
        <v>12</v>
      </c>
      <c r="G70" s="23">
        <f>D70</f>
        <v>12</v>
      </c>
      <c r="H70" s="23">
        <f>D70</f>
        <v>12</v>
      </c>
    </row>
    <row r="71" spans="1:8">
      <c r="A71" s="227"/>
      <c r="B71" s="227"/>
      <c r="C71" s="227"/>
      <c r="D71" s="136"/>
      <c r="E71" s="220"/>
      <c r="F71" s="223"/>
      <c r="G71" s="1"/>
    </row>
    <row r="72" spans="1:8" ht="18" customHeight="1">
      <c r="A72" s="120" t="s">
        <v>390</v>
      </c>
      <c r="B72" s="120"/>
      <c r="C72" s="120"/>
      <c r="D72" s="120"/>
      <c r="E72" s="120"/>
    </row>
    <row r="73" spans="1:8" ht="18" customHeight="1">
      <c r="A73" s="120"/>
      <c r="B73" s="120"/>
      <c r="C73" s="120"/>
      <c r="D73" s="120"/>
      <c r="E73" s="120"/>
      <c r="G73" s="82" t="s">
        <v>60</v>
      </c>
      <c r="H73" s="30" t="s">
        <v>61</v>
      </c>
    </row>
    <row r="74" spans="1:8" ht="18" customHeight="1">
      <c r="A74" s="118" t="s">
        <v>1</v>
      </c>
      <c r="B74" s="338" t="s">
        <v>500</v>
      </c>
      <c r="C74" s="339"/>
      <c r="D74" s="118" t="s">
        <v>33</v>
      </c>
      <c r="E74" s="118" t="s">
        <v>34</v>
      </c>
      <c r="F74" s="118" t="s">
        <v>35</v>
      </c>
      <c r="G74" s="118" t="s">
        <v>36</v>
      </c>
      <c r="H74" s="118" t="s">
        <v>37</v>
      </c>
    </row>
    <row r="75" spans="1:8" ht="18" customHeight="1">
      <c r="A75" s="118"/>
      <c r="B75" s="340" t="s">
        <v>391</v>
      </c>
      <c r="C75" s="341"/>
      <c r="D75" s="109">
        <v>0</v>
      </c>
      <c r="E75" s="109">
        <f>D17</f>
        <v>0.02</v>
      </c>
      <c r="F75" s="109">
        <f>E75</f>
        <v>0.02</v>
      </c>
      <c r="G75" s="109">
        <f t="shared" ref="G75:H75" si="29">F75</f>
        <v>0.02</v>
      </c>
      <c r="H75" s="109">
        <f t="shared" si="29"/>
        <v>0.02</v>
      </c>
    </row>
    <row r="76" spans="1:8" ht="18" customHeight="1">
      <c r="A76" s="124">
        <v>1</v>
      </c>
      <c r="B76" s="332" t="s">
        <v>376</v>
      </c>
      <c r="C76" s="333"/>
      <c r="D76" s="107"/>
      <c r="E76" s="107"/>
      <c r="F76" s="107"/>
      <c r="G76" s="107"/>
      <c r="H76" s="107"/>
    </row>
    <row r="77" spans="1:8" ht="18" customHeight="1">
      <c r="A77" s="124"/>
      <c r="B77" s="368" t="s">
        <v>374</v>
      </c>
      <c r="C77" s="369"/>
      <c r="D77" s="108">
        <f>G24</f>
        <v>95</v>
      </c>
      <c r="E77" s="107">
        <f>D77*(1+E$75)</f>
        <v>96.9</v>
      </c>
      <c r="F77" s="107">
        <f t="shared" ref="F77:H77" si="30">E77*(1+F$75)</f>
        <v>98.838000000000008</v>
      </c>
      <c r="G77" s="107">
        <f t="shared" si="30"/>
        <v>100.81476000000001</v>
      </c>
      <c r="H77" s="107">
        <f t="shared" si="30"/>
        <v>102.83105520000001</v>
      </c>
    </row>
    <row r="78" spans="1:8" ht="18" customHeight="1">
      <c r="A78" s="124"/>
      <c r="B78" s="368" t="s">
        <v>375</v>
      </c>
      <c r="C78" s="369"/>
      <c r="D78" s="108">
        <f t="shared" ref="D78:D84" si="31">G25</f>
        <v>250</v>
      </c>
      <c r="E78" s="107">
        <f t="shared" ref="E78:H78" si="32">D78*(1+E$75)</f>
        <v>255</v>
      </c>
      <c r="F78" s="107">
        <f t="shared" si="32"/>
        <v>260.10000000000002</v>
      </c>
      <c r="G78" s="107">
        <f t="shared" si="32"/>
        <v>265.30200000000002</v>
      </c>
      <c r="H78" s="107">
        <f t="shared" si="32"/>
        <v>270.60804000000002</v>
      </c>
    </row>
    <row r="79" spans="1:8" ht="18" customHeight="1">
      <c r="A79" s="124">
        <v>2</v>
      </c>
      <c r="B79" s="332" t="s">
        <v>379</v>
      </c>
      <c r="C79" s="333"/>
      <c r="D79" s="108">
        <f t="shared" si="31"/>
        <v>130</v>
      </c>
      <c r="E79" s="107">
        <f t="shared" ref="E79:H79" si="33">D79*(1+E$75)</f>
        <v>132.6</v>
      </c>
      <c r="F79" s="107">
        <f t="shared" si="33"/>
        <v>135.25200000000001</v>
      </c>
      <c r="G79" s="107">
        <f t="shared" si="33"/>
        <v>137.95704000000001</v>
      </c>
      <c r="H79" s="107">
        <f t="shared" si="33"/>
        <v>140.71618080000002</v>
      </c>
    </row>
    <row r="80" spans="1:8" ht="18" customHeight="1">
      <c r="A80" s="124">
        <v>3</v>
      </c>
      <c r="B80" s="332" t="s">
        <v>381</v>
      </c>
      <c r="C80" s="333"/>
      <c r="D80" s="108">
        <f t="shared" si="31"/>
        <v>20</v>
      </c>
      <c r="E80" s="107">
        <f t="shared" ref="E80:H80" si="34">D80*(1+E$75)</f>
        <v>20.399999999999999</v>
      </c>
      <c r="F80" s="107">
        <f t="shared" si="34"/>
        <v>20.808</v>
      </c>
      <c r="G80" s="107">
        <f t="shared" si="34"/>
        <v>21.224160000000001</v>
      </c>
      <c r="H80" s="107">
        <f t="shared" si="34"/>
        <v>21.648643200000002</v>
      </c>
    </row>
    <row r="81" spans="1:13" ht="18" customHeight="1">
      <c r="A81" s="124">
        <v>4</v>
      </c>
      <c r="B81" s="332" t="s">
        <v>383</v>
      </c>
      <c r="C81" s="333"/>
      <c r="D81" s="108">
        <f t="shared" si="31"/>
        <v>5</v>
      </c>
      <c r="E81" s="107">
        <f t="shared" ref="E81:H81" si="35">D81*(1+E$75)</f>
        <v>5.0999999999999996</v>
      </c>
      <c r="F81" s="107">
        <f t="shared" si="35"/>
        <v>5.202</v>
      </c>
      <c r="G81" s="107">
        <f t="shared" si="35"/>
        <v>5.3060400000000003</v>
      </c>
      <c r="H81" s="107">
        <f t="shared" si="35"/>
        <v>5.4121608000000005</v>
      </c>
    </row>
    <row r="82" spans="1:13" ht="18" customHeight="1">
      <c r="A82" s="124">
        <v>5</v>
      </c>
      <c r="B82" s="332" t="s">
        <v>384</v>
      </c>
      <c r="C82" s="333"/>
      <c r="D82" s="108">
        <f t="shared" si="31"/>
        <v>50</v>
      </c>
      <c r="E82" s="107">
        <f t="shared" ref="E82:H82" si="36">D82*(1+E$75)</f>
        <v>51</v>
      </c>
      <c r="F82" s="107">
        <f t="shared" si="36"/>
        <v>52.02</v>
      </c>
      <c r="G82" s="107">
        <f t="shared" si="36"/>
        <v>53.060400000000001</v>
      </c>
      <c r="H82" s="107">
        <f t="shared" si="36"/>
        <v>54.121608000000002</v>
      </c>
    </row>
    <row r="83" spans="1:13" ht="18" customHeight="1">
      <c r="A83" s="124">
        <v>6</v>
      </c>
      <c r="B83" s="332" t="s">
        <v>215</v>
      </c>
      <c r="C83" s="333"/>
      <c r="D83" s="108">
        <f t="shared" si="31"/>
        <v>140</v>
      </c>
      <c r="E83" s="107">
        <f t="shared" ref="E83:H83" si="37">D83*(1+E$75)</f>
        <v>142.80000000000001</v>
      </c>
      <c r="F83" s="107">
        <f t="shared" si="37"/>
        <v>145.65600000000001</v>
      </c>
      <c r="G83" s="107">
        <f t="shared" si="37"/>
        <v>148.56912</v>
      </c>
      <c r="H83" s="107">
        <f t="shared" si="37"/>
        <v>151.54050240000001</v>
      </c>
    </row>
    <row r="84" spans="1:13" ht="18" customHeight="1">
      <c r="A84" s="124">
        <v>7</v>
      </c>
      <c r="B84" s="332" t="s">
        <v>385</v>
      </c>
      <c r="C84" s="333"/>
      <c r="D84" s="108">
        <f t="shared" si="31"/>
        <v>10000</v>
      </c>
      <c r="E84" s="107">
        <f t="shared" ref="E84:H84" si="38">D84*(1+E$75)</f>
        <v>10200</v>
      </c>
      <c r="F84" s="107">
        <f t="shared" si="38"/>
        <v>10404</v>
      </c>
      <c r="G84" s="107">
        <f t="shared" si="38"/>
        <v>10612.08</v>
      </c>
      <c r="H84" s="107">
        <f t="shared" si="38"/>
        <v>10824.321599999999</v>
      </c>
    </row>
    <row r="85" spans="1:13" ht="18" customHeight="1">
      <c r="A85" s="101"/>
      <c r="B85" s="102"/>
      <c r="C85" s="102"/>
      <c r="D85" s="103"/>
      <c r="E85" s="103"/>
      <c r="F85" s="103"/>
      <c r="G85" s="103"/>
      <c r="H85" s="103"/>
    </row>
    <row r="86" spans="1:13" ht="18" customHeight="1">
      <c r="A86" s="223"/>
      <c r="B86" s="223"/>
      <c r="C86" s="223"/>
      <c r="D86" s="223"/>
      <c r="E86" s="223"/>
      <c r="G86" s="82" t="s">
        <v>60</v>
      </c>
      <c r="H86" s="30" t="s">
        <v>61</v>
      </c>
    </row>
    <row r="87" spans="1:13" ht="18" customHeight="1">
      <c r="A87" s="221" t="s">
        <v>1</v>
      </c>
      <c r="B87" s="338" t="s">
        <v>500</v>
      </c>
      <c r="C87" s="339"/>
      <c r="D87" s="221" t="s">
        <v>50</v>
      </c>
      <c r="E87" s="221" t="s">
        <v>51</v>
      </c>
      <c r="F87" s="221" t="s">
        <v>52</v>
      </c>
      <c r="G87" s="221" t="s">
        <v>53</v>
      </c>
      <c r="H87" s="221" t="s">
        <v>54</v>
      </c>
      <c r="I87" s="221" t="s">
        <v>55</v>
      </c>
      <c r="J87" s="221" t="s">
        <v>56</v>
      </c>
      <c r="K87" s="221" t="s">
        <v>57</v>
      </c>
      <c r="L87" s="221" t="s">
        <v>58</v>
      </c>
      <c r="M87" s="221" t="s">
        <v>59</v>
      </c>
    </row>
    <row r="88" spans="1:13" ht="18" customHeight="1">
      <c r="A88" s="221"/>
      <c r="B88" s="340" t="s">
        <v>391</v>
      </c>
      <c r="C88" s="341"/>
      <c r="D88" s="109">
        <f>H75</f>
        <v>0.02</v>
      </c>
      <c r="E88" s="109">
        <f>D88</f>
        <v>0.02</v>
      </c>
      <c r="F88" s="109">
        <f>E88</f>
        <v>0.02</v>
      </c>
      <c r="G88" s="109">
        <f t="shared" ref="G88:H88" si="39">F88</f>
        <v>0.02</v>
      </c>
      <c r="H88" s="109">
        <f t="shared" si="39"/>
        <v>0.02</v>
      </c>
    </row>
    <row r="89" spans="1:13" ht="18" customHeight="1">
      <c r="A89" s="176">
        <v>1</v>
      </c>
      <c r="B89" s="332" t="s">
        <v>376</v>
      </c>
      <c r="C89" s="333"/>
      <c r="D89" s="107"/>
      <c r="E89" s="107"/>
      <c r="F89" s="107"/>
      <c r="G89" s="107"/>
      <c r="H89" s="107"/>
    </row>
    <row r="90" spans="1:13" ht="18" customHeight="1">
      <c r="A90" s="176"/>
      <c r="B90" s="368" t="s">
        <v>374</v>
      </c>
      <c r="C90" s="369"/>
      <c r="D90" s="108">
        <f>H77*(1+D$88)</f>
        <v>104.88767630400001</v>
      </c>
      <c r="E90" s="107">
        <f>D90*(1+E$88)</f>
        <v>106.98542983008001</v>
      </c>
      <c r="F90" s="107">
        <f t="shared" ref="F90:H90" si="40">E90*(1+F$88)</f>
        <v>109.12513842668162</v>
      </c>
      <c r="G90" s="107">
        <f t="shared" si="40"/>
        <v>111.30764119521525</v>
      </c>
      <c r="H90" s="107">
        <f t="shared" si="40"/>
        <v>113.53379401911955</v>
      </c>
    </row>
    <row r="91" spans="1:13" ht="18" customHeight="1">
      <c r="A91" s="176"/>
      <c r="B91" s="368" t="s">
        <v>375</v>
      </c>
      <c r="C91" s="369"/>
      <c r="D91" s="108">
        <f t="shared" ref="D91:D97" si="41">H78*(1+D$88)</f>
        <v>276.0202008</v>
      </c>
      <c r="E91" s="107">
        <f t="shared" ref="E91:H91" si="42">D91*(1+E$88)</f>
        <v>281.54060481599998</v>
      </c>
      <c r="F91" s="107">
        <f t="shared" si="42"/>
        <v>287.17141691232001</v>
      </c>
      <c r="G91" s="107">
        <f t="shared" si="42"/>
        <v>292.91484525056643</v>
      </c>
      <c r="H91" s="107">
        <f t="shared" si="42"/>
        <v>298.77314215557777</v>
      </c>
    </row>
    <row r="92" spans="1:13" ht="18" customHeight="1">
      <c r="A92" s="176">
        <v>2</v>
      </c>
      <c r="B92" s="332" t="s">
        <v>379</v>
      </c>
      <c r="C92" s="333"/>
      <c r="D92" s="108">
        <f t="shared" si="41"/>
        <v>143.53050441600001</v>
      </c>
      <c r="E92" s="107">
        <f t="shared" ref="E92:H92" si="43">D92*(1+E$88)</f>
        <v>146.40111450432002</v>
      </c>
      <c r="F92" s="107">
        <f t="shared" si="43"/>
        <v>149.32913679440642</v>
      </c>
      <c r="G92" s="107">
        <f t="shared" si="43"/>
        <v>152.31571953029456</v>
      </c>
      <c r="H92" s="107">
        <f t="shared" si="43"/>
        <v>155.36203392090044</v>
      </c>
    </row>
    <row r="93" spans="1:13" ht="18" customHeight="1">
      <c r="A93" s="176">
        <v>3</v>
      </c>
      <c r="B93" s="332" t="s">
        <v>381</v>
      </c>
      <c r="C93" s="333"/>
      <c r="D93" s="108">
        <f t="shared" si="41"/>
        <v>22.081616064000002</v>
      </c>
      <c r="E93" s="107">
        <f t="shared" ref="E93:H93" si="44">D93*(1+E$88)</f>
        <v>22.523248385280002</v>
      </c>
      <c r="F93" s="107">
        <f t="shared" si="44"/>
        <v>22.973713352985602</v>
      </c>
      <c r="G93" s="107">
        <f t="shared" si="44"/>
        <v>23.433187620045313</v>
      </c>
      <c r="H93" s="107">
        <f t="shared" si="44"/>
        <v>23.90185137244622</v>
      </c>
    </row>
    <row r="94" spans="1:13" ht="18" customHeight="1">
      <c r="A94" s="176">
        <v>4</v>
      </c>
      <c r="B94" s="332" t="s">
        <v>383</v>
      </c>
      <c r="C94" s="333"/>
      <c r="D94" s="108">
        <f t="shared" si="41"/>
        <v>5.5204040160000005</v>
      </c>
      <c r="E94" s="107">
        <f t="shared" ref="E94:H94" si="45">D94*(1+E$88)</f>
        <v>5.6308120963200006</v>
      </c>
      <c r="F94" s="107">
        <f t="shared" si="45"/>
        <v>5.7434283382464004</v>
      </c>
      <c r="G94" s="107">
        <f t="shared" si="45"/>
        <v>5.8582969050113283</v>
      </c>
      <c r="H94" s="107">
        <f t="shared" si="45"/>
        <v>5.9754628431115551</v>
      </c>
    </row>
    <row r="95" spans="1:13" ht="18" customHeight="1">
      <c r="A95" s="176">
        <v>5</v>
      </c>
      <c r="B95" s="332" t="s">
        <v>384</v>
      </c>
      <c r="C95" s="333"/>
      <c r="D95" s="108">
        <f t="shared" si="41"/>
        <v>55.204040160000005</v>
      </c>
      <c r="E95" s="107">
        <f t="shared" ref="E95:H95" si="46">D95*(1+E$88)</f>
        <v>56.308120963200004</v>
      </c>
      <c r="F95" s="107">
        <f t="shared" si="46"/>
        <v>57.434283382464002</v>
      </c>
      <c r="G95" s="107">
        <f t="shared" si="46"/>
        <v>58.582969050113284</v>
      </c>
      <c r="H95" s="107">
        <f t="shared" si="46"/>
        <v>59.754628431115549</v>
      </c>
    </row>
    <row r="96" spans="1:13" ht="18" customHeight="1">
      <c r="A96" s="176">
        <v>6</v>
      </c>
      <c r="B96" s="332" t="s">
        <v>215</v>
      </c>
      <c r="C96" s="333"/>
      <c r="D96" s="108">
        <f t="shared" si="41"/>
        <v>154.57131244800001</v>
      </c>
      <c r="E96" s="107">
        <f t="shared" ref="E96:H96" si="47">D96*(1+E$88)</f>
        <v>157.66273869696002</v>
      </c>
      <c r="F96" s="107">
        <f t="shared" si="47"/>
        <v>160.81599347089923</v>
      </c>
      <c r="G96" s="107">
        <f t="shared" si="47"/>
        <v>164.03231334031722</v>
      </c>
      <c r="H96" s="107">
        <f t="shared" si="47"/>
        <v>167.31295960712356</v>
      </c>
    </row>
    <row r="97" spans="1:8" ht="18" customHeight="1">
      <c r="A97" s="176">
        <v>7</v>
      </c>
      <c r="B97" s="332" t="s">
        <v>385</v>
      </c>
      <c r="C97" s="333"/>
      <c r="D97" s="108">
        <f t="shared" si="41"/>
        <v>11040.808031999999</v>
      </c>
      <c r="E97" s="107">
        <f t="shared" ref="E97:H97" si="48">D97*(1+E$88)</f>
        <v>11261.62419264</v>
      </c>
      <c r="F97" s="107">
        <f t="shared" si="48"/>
        <v>11486.8566764928</v>
      </c>
      <c r="G97" s="107">
        <f t="shared" si="48"/>
        <v>11716.593810022656</v>
      </c>
      <c r="H97" s="107">
        <f t="shared" si="48"/>
        <v>11950.925686223109</v>
      </c>
    </row>
    <row r="98" spans="1:8" ht="18" customHeight="1">
      <c r="A98" s="104"/>
      <c r="B98" s="105"/>
      <c r="C98" s="105"/>
      <c r="D98" s="106"/>
      <c r="E98" s="106"/>
      <c r="F98" s="106"/>
      <c r="G98" s="106"/>
      <c r="H98" s="106"/>
    </row>
    <row r="99" spans="1:8" ht="18" customHeight="1">
      <c r="A99" s="223"/>
      <c r="B99" s="223"/>
      <c r="C99" s="223"/>
      <c r="D99" s="223"/>
      <c r="E99" s="223"/>
      <c r="G99" s="82" t="s">
        <v>60</v>
      </c>
      <c r="H99" s="30" t="s">
        <v>61</v>
      </c>
    </row>
    <row r="100" spans="1:8" ht="18" customHeight="1">
      <c r="A100" s="221" t="s">
        <v>1</v>
      </c>
      <c r="B100" s="338" t="s">
        <v>500</v>
      </c>
      <c r="C100" s="339"/>
      <c r="D100" s="221" t="s">
        <v>55</v>
      </c>
      <c r="E100" s="221" t="s">
        <v>56</v>
      </c>
      <c r="F100" s="221" t="s">
        <v>57</v>
      </c>
      <c r="G100" s="221" t="s">
        <v>58</v>
      </c>
      <c r="H100" s="221" t="s">
        <v>59</v>
      </c>
    </row>
    <row r="101" spans="1:8" ht="18" customHeight="1">
      <c r="A101" s="221"/>
      <c r="B101" s="340" t="s">
        <v>391</v>
      </c>
      <c r="C101" s="341"/>
      <c r="D101" s="109">
        <f>H88</f>
        <v>0.02</v>
      </c>
      <c r="E101" s="109">
        <f>D101</f>
        <v>0.02</v>
      </c>
      <c r="F101" s="109">
        <f>E101</f>
        <v>0.02</v>
      </c>
      <c r="G101" s="109">
        <f t="shared" ref="G101:H101" si="49">F101</f>
        <v>0.02</v>
      </c>
      <c r="H101" s="109">
        <f t="shared" si="49"/>
        <v>0.02</v>
      </c>
    </row>
    <row r="102" spans="1:8" ht="18" customHeight="1">
      <c r="A102" s="176">
        <v>1</v>
      </c>
      <c r="B102" s="332" t="s">
        <v>376</v>
      </c>
      <c r="C102" s="333"/>
      <c r="D102" s="107"/>
      <c r="E102" s="107"/>
      <c r="F102" s="107"/>
      <c r="G102" s="107"/>
      <c r="H102" s="107"/>
    </row>
    <row r="103" spans="1:8" ht="18" customHeight="1">
      <c r="A103" s="176"/>
      <c r="B103" s="368" t="s">
        <v>374</v>
      </c>
      <c r="C103" s="369"/>
      <c r="D103" s="108">
        <f>H90*(1+D$101)</f>
        <v>115.80446989950195</v>
      </c>
      <c r="E103" s="107">
        <f>D103*(1+E$101)</f>
        <v>118.12055929749199</v>
      </c>
      <c r="F103" s="107">
        <f t="shared" ref="F103:H103" si="50">E103*(1+F$101)</f>
        <v>120.48297048344183</v>
      </c>
      <c r="G103" s="107">
        <f t="shared" si="50"/>
        <v>122.89262989311067</v>
      </c>
      <c r="H103" s="107">
        <f t="shared" si="50"/>
        <v>125.35048249097288</v>
      </c>
    </row>
    <row r="104" spans="1:8" ht="18" customHeight="1">
      <c r="A104" s="176"/>
      <c r="B104" s="368" t="s">
        <v>375</v>
      </c>
      <c r="C104" s="369"/>
      <c r="D104" s="108">
        <f t="shared" ref="D104:D110" si="51">H91*(1+D$101)</f>
        <v>304.74860499868936</v>
      </c>
      <c r="E104" s="107">
        <f t="shared" ref="E104:H104" si="52">D104*(1+E$101)</f>
        <v>310.84357709866316</v>
      </c>
      <c r="F104" s="107">
        <f t="shared" si="52"/>
        <v>317.06044864063642</v>
      </c>
      <c r="G104" s="107">
        <f t="shared" si="52"/>
        <v>323.40165761344917</v>
      </c>
      <c r="H104" s="107">
        <f t="shared" si="52"/>
        <v>329.86969076571819</v>
      </c>
    </row>
    <row r="105" spans="1:8" ht="18" customHeight="1">
      <c r="A105" s="176">
        <v>2</v>
      </c>
      <c r="B105" s="332" t="s">
        <v>379</v>
      </c>
      <c r="C105" s="333"/>
      <c r="D105" s="108">
        <f t="shared" si="51"/>
        <v>158.46927459931845</v>
      </c>
      <c r="E105" s="107">
        <f t="shared" ref="E105:H105" si="53">D105*(1+E$101)</f>
        <v>161.63866009130481</v>
      </c>
      <c r="F105" s="107">
        <f t="shared" si="53"/>
        <v>164.87143329313091</v>
      </c>
      <c r="G105" s="107">
        <f t="shared" si="53"/>
        <v>168.16886195899352</v>
      </c>
      <c r="H105" s="107">
        <f t="shared" si="53"/>
        <v>171.53223919817339</v>
      </c>
    </row>
    <row r="106" spans="1:8" ht="18" customHeight="1">
      <c r="A106" s="176">
        <v>3</v>
      </c>
      <c r="B106" s="332" t="s">
        <v>381</v>
      </c>
      <c r="C106" s="333"/>
      <c r="D106" s="108">
        <f t="shared" si="51"/>
        <v>24.379888399895144</v>
      </c>
      <c r="E106" s="107">
        <f t="shared" ref="E106:H106" si="54">D106*(1+E$101)</f>
        <v>24.867486167893048</v>
      </c>
      <c r="F106" s="107">
        <f t="shared" si="54"/>
        <v>25.364835891250909</v>
      </c>
      <c r="G106" s="107">
        <f t="shared" si="54"/>
        <v>25.872132609075926</v>
      </c>
      <c r="H106" s="107">
        <f t="shared" si="54"/>
        <v>26.389575261257445</v>
      </c>
    </row>
    <row r="107" spans="1:8" ht="18" customHeight="1">
      <c r="A107" s="176">
        <v>4</v>
      </c>
      <c r="B107" s="332" t="s">
        <v>383</v>
      </c>
      <c r="C107" s="333"/>
      <c r="D107" s="108">
        <f t="shared" si="51"/>
        <v>6.094972099973786</v>
      </c>
      <c r="E107" s="107">
        <f t="shared" ref="E107:H107" si="55">D107*(1+E$101)</f>
        <v>6.2168715419732621</v>
      </c>
      <c r="F107" s="107">
        <f t="shared" si="55"/>
        <v>6.3412089728127272</v>
      </c>
      <c r="G107" s="107">
        <f t="shared" si="55"/>
        <v>6.4680331522689816</v>
      </c>
      <c r="H107" s="107">
        <f t="shared" si="55"/>
        <v>6.5973938153143612</v>
      </c>
    </row>
    <row r="108" spans="1:8" ht="18" customHeight="1">
      <c r="A108" s="176">
        <v>5</v>
      </c>
      <c r="B108" s="332" t="s">
        <v>384</v>
      </c>
      <c r="C108" s="333"/>
      <c r="D108" s="108">
        <f t="shared" si="51"/>
        <v>60.949720999737863</v>
      </c>
      <c r="E108" s="107">
        <f t="shared" ref="E108:H108" si="56">D108*(1+E$101)</f>
        <v>62.168715419732621</v>
      </c>
      <c r="F108" s="107">
        <f t="shared" si="56"/>
        <v>63.412089728127278</v>
      </c>
      <c r="G108" s="107">
        <f t="shared" si="56"/>
        <v>64.680331522689826</v>
      </c>
      <c r="H108" s="107">
        <f t="shared" si="56"/>
        <v>65.973938153143621</v>
      </c>
    </row>
    <row r="109" spans="1:8" ht="18" customHeight="1">
      <c r="A109" s="176">
        <v>6</v>
      </c>
      <c r="B109" s="332" t="s">
        <v>215</v>
      </c>
      <c r="C109" s="333"/>
      <c r="D109" s="108">
        <f t="shared" si="51"/>
        <v>170.65921879926603</v>
      </c>
      <c r="E109" s="107">
        <f t="shared" ref="E109:H109" si="57">D109*(1+E$101)</f>
        <v>174.07240317525134</v>
      </c>
      <c r="F109" s="107">
        <f t="shared" si="57"/>
        <v>177.55385123875638</v>
      </c>
      <c r="G109" s="107">
        <f t="shared" si="57"/>
        <v>181.10492826353152</v>
      </c>
      <c r="H109" s="107">
        <f t="shared" si="57"/>
        <v>184.72702682880217</v>
      </c>
    </row>
    <row r="110" spans="1:8" ht="18" customHeight="1">
      <c r="A110" s="176">
        <v>7</v>
      </c>
      <c r="B110" s="332" t="s">
        <v>385</v>
      </c>
      <c r="C110" s="333"/>
      <c r="D110" s="108">
        <f t="shared" si="51"/>
        <v>12189.944199947571</v>
      </c>
      <c r="E110" s="107">
        <f t="shared" ref="E110:H110" si="58">D110*(1+E$101)</f>
        <v>12433.743083946523</v>
      </c>
      <c r="F110" s="107">
        <f t="shared" si="58"/>
        <v>12682.417945625453</v>
      </c>
      <c r="G110" s="107">
        <f t="shared" si="58"/>
        <v>12936.066304537962</v>
      </c>
      <c r="H110" s="107">
        <f t="shared" si="58"/>
        <v>13194.787630628722</v>
      </c>
    </row>
    <row r="111" spans="1:8" ht="18" customHeight="1">
      <c r="A111" s="104"/>
      <c r="B111" s="105"/>
      <c r="C111" s="105"/>
      <c r="D111" s="106"/>
      <c r="E111" s="106"/>
      <c r="F111" s="106"/>
      <c r="G111" s="106"/>
      <c r="H111" s="106"/>
    </row>
    <row r="112" spans="1:8" ht="18" customHeight="1">
      <c r="A112" s="120" t="s">
        <v>165</v>
      </c>
      <c r="B112" s="120"/>
      <c r="C112" s="120"/>
      <c r="D112" s="120"/>
      <c r="E112" s="120"/>
    </row>
    <row r="113" spans="1:8" ht="18" customHeight="1">
      <c r="A113" s="120"/>
      <c r="B113" s="120"/>
      <c r="C113" s="120"/>
      <c r="D113" s="120"/>
      <c r="E113" s="120"/>
      <c r="G113" s="82" t="s">
        <v>60</v>
      </c>
      <c r="H113" s="30" t="s">
        <v>61</v>
      </c>
    </row>
    <row r="114" spans="1:8" ht="18" customHeight="1">
      <c r="A114" s="118" t="s">
        <v>1</v>
      </c>
      <c r="B114" s="338" t="s">
        <v>166</v>
      </c>
      <c r="C114" s="339"/>
      <c r="D114" s="118" t="s">
        <v>33</v>
      </c>
      <c r="E114" s="118" t="s">
        <v>34</v>
      </c>
      <c r="F114" s="118" t="s">
        <v>35</v>
      </c>
      <c r="G114" s="118" t="s">
        <v>36</v>
      </c>
      <c r="H114" s="118" t="s">
        <v>37</v>
      </c>
    </row>
    <row r="115" spans="1:8" ht="18" customHeight="1">
      <c r="A115" s="124">
        <v>1</v>
      </c>
      <c r="B115" s="332" t="s">
        <v>376</v>
      </c>
      <c r="C115" s="333"/>
      <c r="D115" s="23"/>
      <c r="E115" s="23"/>
      <c r="F115" s="23"/>
      <c r="G115" s="23"/>
      <c r="H115" s="23"/>
    </row>
    <row r="116" spans="1:8" ht="18" customHeight="1">
      <c r="A116" s="124"/>
      <c r="B116" s="368" t="s">
        <v>374</v>
      </c>
      <c r="C116" s="369"/>
      <c r="D116" s="23">
        <f t="shared" ref="D116:H123" si="59">D77*D39</f>
        <v>2462400</v>
      </c>
      <c r="E116" s="23">
        <f t="shared" si="59"/>
        <v>2536764.4800000004</v>
      </c>
      <c r="F116" s="23">
        <f t="shared" si="59"/>
        <v>2613374.7672960004</v>
      </c>
      <c r="G116" s="23">
        <f t="shared" si="59"/>
        <v>2692298.6852683397</v>
      </c>
      <c r="H116" s="23">
        <f t="shared" si="59"/>
        <v>2773606.1055634436</v>
      </c>
    </row>
    <row r="117" spans="1:8" ht="18" customHeight="1">
      <c r="A117" s="124"/>
      <c r="B117" s="368" t="s">
        <v>375</v>
      </c>
      <c r="C117" s="369"/>
      <c r="D117" s="23">
        <f t="shared" si="59"/>
        <v>5670000</v>
      </c>
      <c r="E117" s="23">
        <f t="shared" si="59"/>
        <v>5841234</v>
      </c>
      <c r="F117" s="23">
        <f t="shared" si="59"/>
        <v>6017639.2668000003</v>
      </c>
      <c r="G117" s="23">
        <f t="shared" si="59"/>
        <v>6199371.9726573601</v>
      </c>
      <c r="H117" s="23">
        <f t="shared" si="59"/>
        <v>6386593.0062316125</v>
      </c>
    </row>
    <row r="118" spans="1:8" ht="18" customHeight="1">
      <c r="A118" s="124">
        <v>2</v>
      </c>
      <c r="B118" s="332" t="s">
        <v>379</v>
      </c>
      <c r="C118" s="333"/>
      <c r="D118" s="23">
        <f t="shared" si="59"/>
        <v>2948400</v>
      </c>
      <c r="E118" s="23">
        <f t="shared" si="59"/>
        <v>3037441.6799999997</v>
      </c>
      <c r="F118" s="23">
        <f t="shared" si="59"/>
        <v>3129172.4187360001</v>
      </c>
      <c r="G118" s="23">
        <f t="shared" si="59"/>
        <v>3223673.4257818274</v>
      </c>
      <c r="H118" s="23">
        <f t="shared" si="59"/>
        <v>3321028.363240439</v>
      </c>
    </row>
    <row r="119" spans="1:8" ht="18" customHeight="1">
      <c r="A119" s="124">
        <v>3</v>
      </c>
      <c r="B119" s="332" t="s">
        <v>381</v>
      </c>
      <c r="C119" s="333"/>
      <c r="D119" s="23">
        <f t="shared" si="59"/>
        <v>2160000</v>
      </c>
      <c r="E119" s="23">
        <f t="shared" si="59"/>
        <v>2225232</v>
      </c>
      <c r="F119" s="23">
        <f t="shared" si="59"/>
        <v>2292434.0063999998</v>
      </c>
      <c r="G119" s="23">
        <f t="shared" si="59"/>
        <v>2361665.5133932801</v>
      </c>
      <c r="H119" s="23">
        <f t="shared" si="59"/>
        <v>2432987.8118977575</v>
      </c>
    </row>
    <row r="120" spans="1:8" ht="18" customHeight="1">
      <c r="A120" s="124">
        <v>4</v>
      </c>
      <c r="B120" s="332" t="s">
        <v>383</v>
      </c>
      <c r="C120" s="333"/>
      <c r="D120" s="23">
        <f t="shared" si="59"/>
        <v>360000</v>
      </c>
      <c r="E120" s="23">
        <f t="shared" si="59"/>
        <v>370872</v>
      </c>
      <c r="F120" s="23">
        <f t="shared" si="59"/>
        <v>382072.33439999999</v>
      </c>
      <c r="G120" s="23">
        <f t="shared" si="59"/>
        <v>393610.91889887996</v>
      </c>
      <c r="H120" s="23">
        <f t="shared" si="59"/>
        <v>405497.96864962619</v>
      </c>
    </row>
    <row r="121" spans="1:8" ht="18" customHeight="1">
      <c r="A121" s="124">
        <v>5</v>
      </c>
      <c r="B121" s="332" t="s">
        <v>384</v>
      </c>
      <c r="C121" s="333"/>
      <c r="D121" s="23">
        <f t="shared" si="59"/>
        <v>324000</v>
      </c>
      <c r="E121" s="23">
        <f t="shared" si="59"/>
        <v>333784.8</v>
      </c>
      <c r="F121" s="23">
        <f t="shared" si="59"/>
        <v>343865.10096000007</v>
      </c>
      <c r="G121" s="23">
        <f t="shared" si="59"/>
        <v>354249.82700899208</v>
      </c>
      <c r="H121" s="23">
        <f t="shared" si="59"/>
        <v>364948.17178466363</v>
      </c>
    </row>
    <row r="122" spans="1:8" ht="18" customHeight="1">
      <c r="A122" s="124">
        <v>6</v>
      </c>
      <c r="B122" s="332" t="s">
        <v>215</v>
      </c>
      <c r="C122" s="333"/>
      <c r="D122" s="23">
        <f t="shared" si="59"/>
        <v>504000</v>
      </c>
      <c r="E122" s="23">
        <f t="shared" si="59"/>
        <v>519220.80000000005</v>
      </c>
      <c r="F122" s="23">
        <f t="shared" si="59"/>
        <v>534901.26816000009</v>
      </c>
      <c r="G122" s="23">
        <f t="shared" si="59"/>
        <v>551055.28645843209</v>
      </c>
      <c r="H122" s="23">
        <f t="shared" si="59"/>
        <v>567697.15610947669</v>
      </c>
    </row>
    <row r="123" spans="1:8" ht="18" customHeight="1">
      <c r="A123" s="124">
        <v>7</v>
      </c>
      <c r="B123" s="332" t="s">
        <v>385</v>
      </c>
      <c r="C123" s="333"/>
      <c r="D123" s="23">
        <f t="shared" si="59"/>
        <v>120000</v>
      </c>
      <c r="E123" s="23">
        <f t="shared" si="59"/>
        <v>122400</v>
      </c>
      <c r="F123" s="23">
        <f t="shared" si="59"/>
        <v>124848</v>
      </c>
      <c r="G123" s="23">
        <f t="shared" si="59"/>
        <v>127344.95999999999</v>
      </c>
      <c r="H123" s="23">
        <f t="shared" si="59"/>
        <v>129891.85919999999</v>
      </c>
    </row>
    <row r="124" spans="1:8" ht="18" customHeight="1">
      <c r="A124" s="124"/>
      <c r="B124" s="316" t="s">
        <v>167</v>
      </c>
      <c r="C124" s="316"/>
      <c r="D124" s="28">
        <f>SUM(D115:D123)</f>
        <v>14548800</v>
      </c>
      <c r="E124" s="28">
        <f>SUM(E115:E123)</f>
        <v>14986949.760000002</v>
      </c>
      <c r="F124" s="28">
        <f>SUM(F115:F123)</f>
        <v>15438307.162752001</v>
      </c>
      <c r="G124" s="28">
        <f>SUM(G115:G123)</f>
        <v>15903270.589467112</v>
      </c>
      <c r="H124" s="28">
        <f>SUM(H115:H123)</f>
        <v>16382250.442677021</v>
      </c>
    </row>
    <row r="125" spans="1:8">
      <c r="A125" s="126"/>
      <c r="B125" s="126"/>
      <c r="C125" s="126"/>
      <c r="D125" s="136"/>
      <c r="E125" s="127"/>
      <c r="F125" s="120"/>
      <c r="G125" s="1"/>
    </row>
    <row r="126" spans="1:8">
      <c r="A126" s="223"/>
      <c r="B126" s="223"/>
      <c r="C126" s="223"/>
      <c r="D126" s="223"/>
      <c r="E126" s="223"/>
      <c r="G126" s="82" t="s">
        <v>60</v>
      </c>
      <c r="H126" s="30" t="s">
        <v>61</v>
      </c>
    </row>
    <row r="127" spans="1:8">
      <c r="A127" s="221" t="s">
        <v>1</v>
      </c>
      <c r="B127" s="338" t="s">
        <v>166</v>
      </c>
      <c r="C127" s="339"/>
      <c r="D127" s="221" t="s">
        <v>50</v>
      </c>
      <c r="E127" s="221" t="s">
        <v>51</v>
      </c>
      <c r="F127" s="221" t="s">
        <v>52</v>
      </c>
      <c r="G127" s="221" t="s">
        <v>53</v>
      </c>
      <c r="H127" s="221" t="s">
        <v>54</v>
      </c>
    </row>
    <row r="128" spans="1:8">
      <c r="A128" s="176">
        <v>1</v>
      </c>
      <c r="B128" s="332" t="s">
        <v>376</v>
      </c>
      <c r="C128" s="333"/>
      <c r="D128" s="23"/>
      <c r="E128" s="23"/>
      <c r="F128" s="23"/>
      <c r="G128" s="23"/>
      <c r="H128" s="23"/>
    </row>
    <row r="129" spans="1:8">
      <c r="A129" s="176"/>
      <c r="B129" s="368" t="s">
        <v>374</v>
      </c>
      <c r="C129" s="369"/>
      <c r="D129" s="23">
        <f>D51*D90</f>
        <v>2857369.0099514602</v>
      </c>
      <c r="E129" s="23">
        <f t="shared" ref="E129:H129" si="60">E51*E90</f>
        <v>2943661.5540519939</v>
      </c>
      <c r="F129" s="23">
        <f t="shared" si="60"/>
        <v>3032560.1329843644</v>
      </c>
      <c r="G129" s="23">
        <f t="shared" si="60"/>
        <v>3124143.4490004922</v>
      </c>
      <c r="H129" s="23">
        <f t="shared" si="60"/>
        <v>3218492.5811603069</v>
      </c>
    </row>
    <row r="130" spans="1:8">
      <c r="A130" s="176"/>
      <c r="B130" s="368" t="s">
        <v>375</v>
      </c>
      <c r="C130" s="369"/>
      <c r="D130" s="23">
        <f t="shared" ref="D130:H130" si="61">D52*D91</f>
        <v>6579468.1150198067</v>
      </c>
      <c r="E130" s="23">
        <f t="shared" si="61"/>
        <v>6778168.0520934043</v>
      </c>
      <c r="F130" s="23">
        <f t="shared" si="61"/>
        <v>6982868.7272666264</v>
      </c>
      <c r="G130" s="23">
        <f t="shared" si="61"/>
        <v>7193751.3628300792</v>
      </c>
      <c r="H130" s="23">
        <f t="shared" si="61"/>
        <v>7411002.6539875474</v>
      </c>
    </row>
    <row r="131" spans="1:8">
      <c r="A131" s="176">
        <v>2</v>
      </c>
      <c r="B131" s="332" t="s">
        <v>379</v>
      </c>
      <c r="C131" s="333"/>
      <c r="D131" s="23">
        <f t="shared" ref="D131:H131" si="62">D53*D92</f>
        <v>3421323.4198102998</v>
      </c>
      <c r="E131" s="23">
        <f t="shared" si="62"/>
        <v>3524647.3870885712</v>
      </c>
      <c r="F131" s="23">
        <f t="shared" si="62"/>
        <v>3631091.7381786462</v>
      </c>
      <c r="G131" s="23">
        <f t="shared" si="62"/>
        <v>3740750.7086716415</v>
      </c>
      <c r="H131" s="23">
        <f t="shared" si="62"/>
        <v>3853721.380073525</v>
      </c>
    </row>
    <row r="132" spans="1:8">
      <c r="A132" s="176">
        <v>3</v>
      </c>
      <c r="B132" s="332" t="s">
        <v>381</v>
      </c>
      <c r="C132" s="333"/>
      <c r="D132" s="23">
        <f t="shared" ref="D132:H132" si="63">D54*D93</f>
        <v>2506464.0438170698</v>
      </c>
      <c r="E132" s="23">
        <f t="shared" si="63"/>
        <v>2582159.257940345</v>
      </c>
      <c r="F132" s="23">
        <f t="shared" si="63"/>
        <v>2660140.4675301434</v>
      </c>
      <c r="G132" s="23">
        <f t="shared" si="63"/>
        <v>2740476.709649554</v>
      </c>
      <c r="H132" s="23">
        <f t="shared" si="63"/>
        <v>2823239.1062809704</v>
      </c>
    </row>
    <row r="133" spans="1:8">
      <c r="A133" s="176">
        <v>4</v>
      </c>
      <c r="B133" s="332" t="s">
        <v>383</v>
      </c>
      <c r="C133" s="333"/>
      <c r="D133" s="23">
        <f t="shared" ref="D133:H133" si="64">D55*D94</f>
        <v>417744.0073028449</v>
      </c>
      <c r="E133" s="23">
        <f t="shared" si="64"/>
        <v>430359.87632339081</v>
      </c>
      <c r="F133" s="23">
        <f t="shared" si="64"/>
        <v>443356.74458835716</v>
      </c>
      <c r="G133" s="23">
        <f t="shared" si="64"/>
        <v>456746.11827492557</v>
      </c>
      <c r="H133" s="23">
        <f t="shared" si="64"/>
        <v>470539.85104682838</v>
      </c>
    </row>
    <row r="134" spans="1:8">
      <c r="A134" s="176">
        <v>5</v>
      </c>
      <c r="B134" s="332" t="s">
        <v>384</v>
      </c>
      <c r="C134" s="333"/>
      <c r="D134" s="23">
        <f t="shared" ref="D134:H134" si="65">D56*D95</f>
        <v>375969.6065725605</v>
      </c>
      <c r="E134" s="23">
        <f t="shared" si="65"/>
        <v>387323.8886910518</v>
      </c>
      <c r="F134" s="23">
        <f t="shared" si="65"/>
        <v>399021.0701295216</v>
      </c>
      <c r="G134" s="23">
        <f t="shared" si="65"/>
        <v>411071.50644743314</v>
      </c>
      <c r="H134" s="23">
        <f t="shared" si="65"/>
        <v>423485.86594214564</v>
      </c>
    </row>
    <row r="135" spans="1:8">
      <c r="A135" s="176">
        <v>6</v>
      </c>
      <c r="B135" s="332" t="s">
        <v>215</v>
      </c>
      <c r="C135" s="333"/>
      <c r="D135" s="23">
        <f t="shared" ref="D135:H135" si="66">D57*D96</f>
        <v>584841.61022398295</v>
      </c>
      <c r="E135" s="23">
        <f t="shared" si="66"/>
        <v>602503.82685274724</v>
      </c>
      <c r="F135" s="23">
        <f t="shared" si="66"/>
        <v>620699.44242370024</v>
      </c>
      <c r="G135" s="23">
        <f t="shared" si="66"/>
        <v>639444.56558489602</v>
      </c>
      <c r="H135" s="23">
        <f t="shared" si="66"/>
        <v>658755.79146555986</v>
      </c>
    </row>
    <row r="136" spans="1:8">
      <c r="A136" s="176">
        <v>7</v>
      </c>
      <c r="B136" s="332" t="s">
        <v>385</v>
      </c>
      <c r="C136" s="333"/>
      <c r="D136" s="23">
        <f t="shared" ref="D136:H136" si="67">D58*D97</f>
        <v>132489.69638399998</v>
      </c>
      <c r="E136" s="23">
        <f t="shared" si="67"/>
        <v>135139.49031168001</v>
      </c>
      <c r="F136" s="23">
        <f t="shared" si="67"/>
        <v>137842.28011791361</v>
      </c>
      <c r="G136" s="23">
        <f t="shared" si="67"/>
        <v>140599.12572027187</v>
      </c>
      <c r="H136" s="23">
        <f t="shared" si="67"/>
        <v>143411.10823467729</v>
      </c>
    </row>
    <row r="137" spans="1:8">
      <c r="A137" s="176"/>
      <c r="B137" s="316" t="s">
        <v>167</v>
      </c>
      <c r="C137" s="316"/>
      <c r="D137" s="28">
        <f>SUM(D128:D136)</f>
        <v>16875669.509082023</v>
      </c>
      <c r="E137" s="28">
        <f>SUM(E128:E136)</f>
        <v>17383963.33335318</v>
      </c>
      <c r="F137" s="28">
        <f>SUM(F128:F136)</f>
        <v>17907580.603219274</v>
      </c>
      <c r="G137" s="28">
        <f>SUM(G128:G136)</f>
        <v>18446983.546179298</v>
      </c>
      <c r="H137" s="28">
        <f>SUM(H128:H136)</f>
        <v>19002648.338191558</v>
      </c>
    </row>
    <row r="138" spans="1:8">
      <c r="A138" s="227"/>
      <c r="B138" s="227"/>
      <c r="C138" s="227"/>
      <c r="D138" s="136"/>
      <c r="E138" s="220"/>
      <c r="F138" s="223"/>
      <c r="G138" s="1"/>
    </row>
    <row r="139" spans="1:8">
      <c r="A139" s="223"/>
      <c r="B139" s="223"/>
      <c r="C139" s="223"/>
      <c r="D139" s="223"/>
      <c r="E139" s="223"/>
      <c r="G139" s="82" t="s">
        <v>60</v>
      </c>
      <c r="H139" s="30" t="s">
        <v>61</v>
      </c>
    </row>
    <row r="140" spans="1:8">
      <c r="A140" s="221" t="s">
        <v>1</v>
      </c>
      <c r="B140" s="338" t="s">
        <v>166</v>
      </c>
      <c r="C140" s="339"/>
      <c r="D140" s="221" t="s">
        <v>55</v>
      </c>
      <c r="E140" s="221" t="s">
        <v>56</v>
      </c>
      <c r="F140" s="221" t="s">
        <v>57</v>
      </c>
      <c r="G140" s="221" t="s">
        <v>58</v>
      </c>
      <c r="H140" s="221" t="s">
        <v>59</v>
      </c>
    </row>
    <row r="141" spans="1:8">
      <c r="A141" s="176">
        <v>1</v>
      </c>
      <c r="B141" s="332" t="s">
        <v>376</v>
      </c>
      <c r="C141" s="333"/>
      <c r="D141" s="23"/>
      <c r="E141" s="23"/>
      <c r="F141" s="23"/>
      <c r="G141" s="23"/>
      <c r="H141" s="23"/>
    </row>
    <row r="142" spans="1:8">
      <c r="A142" s="176"/>
      <c r="B142" s="368" t="s">
        <v>374</v>
      </c>
      <c r="C142" s="369"/>
      <c r="D142" s="23">
        <f>D63*D103</f>
        <v>3315691.057111349</v>
      </c>
      <c r="E142" s="23">
        <f t="shared" ref="E142:H142" si="68">E63*E103</f>
        <v>3415824.9270361117</v>
      </c>
      <c r="F142" s="23">
        <f t="shared" si="68"/>
        <v>3518982.8398326021</v>
      </c>
      <c r="G142" s="23">
        <f t="shared" si="68"/>
        <v>3625256.1215955466</v>
      </c>
      <c r="H142" s="23">
        <f t="shared" si="68"/>
        <v>3734738.8564677322</v>
      </c>
    </row>
    <row r="143" spans="1:8">
      <c r="A143" s="176"/>
      <c r="B143" s="368" t="s">
        <v>375</v>
      </c>
      <c r="C143" s="369"/>
      <c r="D143" s="23">
        <f t="shared" ref="D143:H143" si="69">D64*D104</f>
        <v>7634814.934137973</v>
      </c>
      <c r="E143" s="23">
        <f t="shared" si="69"/>
        <v>7865386.3451489396</v>
      </c>
      <c r="F143" s="23">
        <f t="shared" si="69"/>
        <v>8102921.0127724381</v>
      </c>
      <c r="G143" s="23">
        <f t="shared" si="69"/>
        <v>8347629.2273581652</v>
      </c>
      <c r="H143" s="23">
        <f t="shared" si="69"/>
        <v>8599727.6300243828</v>
      </c>
    </row>
    <row r="144" spans="1:8">
      <c r="A144" s="176">
        <v>2</v>
      </c>
      <c r="B144" s="332" t="s">
        <v>379</v>
      </c>
      <c r="C144" s="333"/>
      <c r="D144" s="23">
        <f t="shared" ref="D144:H144" si="70">D65*D105</f>
        <v>3970103.7657517456</v>
      </c>
      <c r="E144" s="23">
        <f t="shared" si="70"/>
        <v>4090000.8994774478</v>
      </c>
      <c r="F144" s="23">
        <f t="shared" si="70"/>
        <v>4213518.9266416663</v>
      </c>
      <c r="G144" s="23">
        <f t="shared" si="70"/>
        <v>4340767.1982262442</v>
      </c>
      <c r="H144" s="23">
        <f t="shared" si="70"/>
        <v>4471858.3676126776</v>
      </c>
    </row>
    <row r="145" spans="1:9">
      <c r="A145" s="176">
        <v>3</v>
      </c>
      <c r="B145" s="332" t="s">
        <v>381</v>
      </c>
      <c r="C145" s="333"/>
      <c r="D145" s="23">
        <f t="shared" ref="D145:H145" si="71">D66*D106</f>
        <v>2908500.9272906557</v>
      </c>
      <c r="E145" s="23">
        <f t="shared" si="71"/>
        <v>2996337.6552948337</v>
      </c>
      <c r="F145" s="23">
        <f t="shared" si="71"/>
        <v>3086827.0524847382</v>
      </c>
      <c r="G145" s="23">
        <f t="shared" si="71"/>
        <v>3180049.2294697771</v>
      </c>
      <c r="H145" s="23">
        <f t="shared" si="71"/>
        <v>3276086.7161997641</v>
      </c>
    </row>
    <row r="146" spans="1:9">
      <c r="A146" s="176">
        <v>4</v>
      </c>
      <c r="B146" s="332" t="s">
        <v>383</v>
      </c>
      <c r="C146" s="333"/>
      <c r="D146" s="23">
        <f t="shared" ref="D146:H146" si="72">D67*D107</f>
        <v>484750.15454844257</v>
      </c>
      <c r="E146" s="23">
        <f t="shared" si="72"/>
        <v>499389.6092158056</v>
      </c>
      <c r="F146" s="23">
        <f t="shared" si="72"/>
        <v>514471.17541412287</v>
      </c>
      <c r="G146" s="23">
        <f t="shared" si="72"/>
        <v>530008.20491162932</v>
      </c>
      <c r="H146" s="23">
        <f t="shared" si="72"/>
        <v>546014.45269996056</v>
      </c>
    </row>
    <row r="147" spans="1:9">
      <c r="A147" s="176">
        <v>5</v>
      </c>
      <c r="B147" s="332" t="s">
        <v>384</v>
      </c>
      <c r="C147" s="333"/>
      <c r="D147" s="23">
        <f t="shared" ref="D147:H147" si="73">D68*D108</f>
        <v>436275.13909359847</v>
      </c>
      <c r="E147" s="23">
        <f t="shared" si="73"/>
        <v>449450.64829422516</v>
      </c>
      <c r="F147" s="23">
        <f t="shared" si="73"/>
        <v>463024.05787271075</v>
      </c>
      <c r="G147" s="23">
        <f t="shared" si="73"/>
        <v>477007.38442046667</v>
      </c>
      <c r="H147" s="23">
        <f t="shared" si="73"/>
        <v>491413.00742996478</v>
      </c>
    </row>
    <row r="148" spans="1:9">
      <c r="A148" s="176">
        <v>6</v>
      </c>
      <c r="B148" s="332" t="s">
        <v>215</v>
      </c>
      <c r="C148" s="333"/>
      <c r="D148" s="23">
        <f t="shared" ref="D148:H148" si="74">D69*D109</f>
        <v>678650.21636781981</v>
      </c>
      <c r="E148" s="23">
        <f t="shared" si="74"/>
        <v>699145.45290212799</v>
      </c>
      <c r="F148" s="23">
        <f t="shared" si="74"/>
        <v>720259.6455797723</v>
      </c>
      <c r="G148" s="23">
        <f t="shared" si="74"/>
        <v>742011.48687628144</v>
      </c>
      <c r="H148" s="23">
        <f t="shared" si="74"/>
        <v>764420.23377994518</v>
      </c>
    </row>
    <row r="149" spans="1:9">
      <c r="A149" s="176">
        <v>7</v>
      </c>
      <c r="B149" s="332" t="s">
        <v>385</v>
      </c>
      <c r="C149" s="333"/>
      <c r="D149" s="23">
        <f t="shared" ref="D149:H149" si="75">D70*D110</f>
        <v>146279.33039937087</v>
      </c>
      <c r="E149" s="23">
        <f t="shared" si="75"/>
        <v>149204.91700735828</v>
      </c>
      <c r="F149" s="23">
        <f t="shared" si="75"/>
        <v>152189.01534750545</v>
      </c>
      <c r="G149" s="23">
        <f t="shared" si="75"/>
        <v>155232.79565445555</v>
      </c>
      <c r="H149" s="23">
        <f t="shared" si="75"/>
        <v>158337.45156754466</v>
      </c>
    </row>
    <row r="150" spans="1:9">
      <c r="A150" s="176"/>
      <c r="B150" s="316" t="s">
        <v>167</v>
      </c>
      <c r="C150" s="316"/>
      <c r="D150" s="28">
        <f>SUM(D141:D149)</f>
        <v>19575065.524700958</v>
      </c>
      <c r="E150" s="28">
        <f>SUM(E141:E149)</f>
        <v>20164740.45437685</v>
      </c>
      <c r="F150" s="28">
        <f>SUM(F141:F149)</f>
        <v>20772193.725945562</v>
      </c>
      <c r="G150" s="28">
        <f>SUM(G141:G149)</f>
        <v>21397961.648512568</v>
      </c>
      <c r="H150" s="28">
        <f>SUM(H141:H149)</f>
        <v>22042596.715781972</v>
      </c>
    </row>
    <row r="151" spans="1:9">
      <c r="A151" s="227"/>
      <c r="B151" s="227"/>
      <c r="C151" s="227"/>
      <c r="D151" s="136"/>
      <c r="E151" s="220"/>
      <c r="F151" s="223"/>
      <c r="G151" s="1"/>
    </row>
    <row r="152" spans="1:9" ht="18" customHeight="1">
      <c r="A152" s="314" t="s">
        <v>168</v>
      </c>
      <c r="B152" s="314"/>
      <c r="C152" s="314"/>
      <c r="D152" s="314"/>
      <c r="E152" s="314"/>
      <c r="F152" s="314"/>
      <c r="G152" s="314"/>
      <c r="H152" s="314"/>
    </row>
    <row r="153" spans="1:9" ht="35.25" customHeight="1">
      <c r="A153" s="342" t="s">
        <v>392</v>
      </c>
      <c r="B153" s="342"/>
      <c r="C153" s="342"/>
      <c r="D153" s="342"/>
      <c r="E153" s="342"/>
      <c r="F153" s="342"/>
      <c r="G153" s="342"/>
      <c r="H153" s="342"/>
      <c r="I153" s="37"/>
    </row>
    <row r="154" spans="1:9" ht="18" customHeight="1">
      <c r="A154" s="120" t="s">
        <v>236</v>
      </c>
    </row>
    <row r="155" spans="1:9" ht="18" customHeight="1">
      <c r="A155" s="130" t="s">
        <v>64</v>
      </c>
    </row>
    <row r="156" spans="1:9" ht="18" customHeight="1">
      <c r="A156" s="130" t="s">
        <v>65</v>
      </c>
      <c r="C156" s="31">
        <v>0.1</v>
      </c>
      <c r="D156" s="229" t="s">
        <v>340</v>
      </c>
    </row>
    <row r="157" spans="1:9" ht="18" customHeight="1">
      <c r="A157" s="130" t="s">
        <v>69</v>
      </c>
      <c r="C157" s="31">
        <v>0.215</v>
      </c>
      <c r="D157" s="130" t="s">
        <v>68</v>
      </c>
    </row>
    <row r="158" spans="1:9" ht="18" customHeight="1">
      <c r="A158" s="130" t="s">
        <v>71</v>
      </c>
      <c r="C158" s="119">
        <v>13</v>
      </c>
      <c r="D158" s="130" t="s">
        <v>70</v>
      </c>
    </row>
    <row r="159" spans="1:9" ht="18" customHeight="1">
      <c r="A159" s="130" t="s">
        <v>73</v>
      </c>
      <c r="C159" s="31">
        <v>0.03</v>
      </c>
      <c r="D159" s="130" t="s">
        <v>72</v>
      </c>
    </row>
    <row r="160" spans="1:9" ht="21.75" customHeight="1">
      <c r="A160" s="120" t="s">
        <v>96</v>
      </c>
      <c r="B160" s="120"/>
    </row>
    <row r="161" spans="1:8" ht="16.5" customHeight="1">
      <c r="A161" s="120"/>
      <c r="B161" s="120"/>
      <c r="G161" s="82" t="s">
        <v>60</v>
      </c>
      <c r="H161" s="30" t="s">
        <v>61</v>
      </c>
    </row>
    <row r="162" spans="1:8" ht="54" customHeight="1">
      <c r="A162" s="132" t="s">
        <v>1</v>
      </c>
      <c r="B162" s="132" t="s">
        <v>75</v>
      </c>
      <c r="C162" s="132" t="s">
        <v>74</v>
      </c>
      <c r="D162" s="132" t="s">
        <v>76</v>
      </c>
      <c r="E162" s="132" t="s">
        <v>77</v>
      </c>
      <c r="F162" s="33" t="s">
        <v>78</v>
      </c>
      <c r="G162" s="34" t="s">
        <v>79</v>
      </c>
      <c r="H162" s="35" t="s">
        <v>80</v>
      </c>
    </row>
    <row r="163" spans="1:8" ht="17.100000000000001" customHeight="1">
      <c r="A163" s="124">
        <v>1</v>
      </c>
      <c r="B163" s="125" t="s">
        <v>395</v>
      </c>
      <c r="C163" s="124">
        <v>1</v>
      </c>
      <c r="D163" s="122">
        <v>15000</v>
      </c>
      <c r="E163" s="122">
        <f>D163*10%</f>
        <v>1500</v>
      </c>
      <c r="F163" s="122">
        <f>D163+E163</f>
        <v>16500</v>
      </c>
      <c r="G163" s="122">
        <f>F163*$C$158*C163</f>
        <v>214500</v>
      </c>
      <c r="H163" s="122">
        <f>D163*12*$C$157*C163</f>
        <v>38700</v>
      </c>
    </row>
    <row r="164" spans="1:8" ht="17.100000000000001" customHeight="1">
      <c r="A164" s="124">
        <v>2</v>
      </c>
      <c r="B164" s="125" t="s">
        <v>396</v>
      </c>
      <c r="C164" s="124">
        <v>1</v>
      </c>
      <c r="D164" s="122">
        <v>10000</v>
      </c>
      <c r="E164" s="122">
        <f t="shared" ref="E164:E170" si="76">D164*10%</f>
        <v>1000</v>
      </c>
      <c r="F164" s="122">
        <f t="shared" ref="F164:F170" si="77">D164+E164</f>
        <v>11000</v>
      </c>
      <c r="G164" s="122">
        <f>F164*$C$158*C164</f>
        <v>143000</v>
      </c>
      <c r="H164" s="122">
        <f t="shared" ref="H164:H170" si="78">D164*12*$C$157*C164</f>
        <v>25800</v>
      </c>
    </row>
    <row r="165" spans="1:8" ht="17.100000000000001" customHeight="1">
      <c r="A165" s="124">
        <v>3</v>
      </c>
      <c r="B165" s="125" t="s">
        <v>229</v>
      </c>
      <c r="C165" s="124">
        <v>4</v>
      </c>
      <c r="D165" s="122">
        <v>7000</v>
      </c>
      <c r="E165" s="122">
        <f t="shared" si="76"/>
        <v>700</v>
      </c>
      <c r="F165" s="122">
        <f t="shared" si="77"/>
        <v>7700</v>
      </c>
      <c r="G165" s="122">
        <f t="shared" ref="G165:G167" si="79">F165*$C$158*C165</f>
        <v>400400</v>
      </c>
      <c r="H165" s="122">
        <f t="shared" ref="H165:H167" si="80">D165*12*$C$157*C165</f>
        <v>72240</v>
      </c>
    </row>
    <row r="166" spans="1:8" ht="17.100000000000001" customHeight="1">
      <c r="A166" s="124">
        <v>4</v>
      </c>
      <c r="B166" s="125" t="s">
        <v>400</v>
      </c>
      <c r="C166" s="124">
        <v>1</v>
      </c>
      <c r="D166" s="122">
        <v>7000</v>
      </c>
      <c r="E166" s="122">
        <f t="shared" si="76"/>
        <v>700</v>
      </c>
      <c r="F166" s="122">
        <f t="shared" si="77"/>
        <v>7700</v>
      </c>
      <c r="G166" s="122">
        <f t="shared" si="79"/>
        <v>100100</v>
      </c>
      <c r="H166" s="122">
        <f t="shared" si="80"/>
        <v>18060</v>
      </c>
    </row>
    <row r="167" spans="1:8" ht="17.100000000000001" customHeight="1">
      <c r="A167" s="124"/>
      <c r="B167" s="125" t="s">
        <v>401</v>
      </c>
      <c r="C167" s="124">
        <v>9</v>
      </c>
      <c r="D167" s="122">
        <v>6000</v>
      </c>
      <c r="E167" s="122">
        <f t="shared" si="76"/>
        <v>600</v>
      </c>
      <c r="F167" s="122">
        <f t="shared" si="77"/>
        <v>6600</v>
      </c>
      <c r="G167" s="122">
        <f t="shared" si="79"/>
        <v>772200</v>
      </c>
      <c r="H167" s="122">
        <f t="shared" si="80"/>
        <v>139320</v>
      </c>
    </row>
    <row r="168" spans="1:8" ht="17.100000000000001" customHeight="1">
      <c r="A168" s="124">
        <v>5</v>
      </c>
      <c r="B168" s="125" t="s">
        <v>397</v>
      </c>
      <c r="C168" s="124">
        <v>4</v>
      </c>
      <c r="D168" s="122">
        <v>6000</v>
      </c>
      <c r="E168" s="122">
        <f t="shared" si="76"/>
        <v>600</v>
      </c>
      <c r="F168" s="122">
        <f t="shared" si="77"/>
        <v>6600</v>
      </c>
      <c r="G168" s="122">
        <f t="shared" ref="G168:G170" si="81">F168*$C$158*C168</f>
        <v>343200</v>
      </c>
      <c r="H168" s="122">
        <f t="shared" si="78"/>
        <v>61920</v>
      </c>
    </row>
    <row r="169" spans="1:8" ht="17.100000000000001" customHeight="1">
      <c r="A169" s="124">
        <v>6</v>
      </c>
      <c r="B169" s="125" t="s">
        <v>399</v>
      </c>
      <c r="C169" s="124">
        <v>6</v>
      </c>
      <c r="D169" s="122">
        <v>6000</v>
      </c>
      <c r="E169" s="122">
        <f t="shared" si="76"/>
        <v>600</v>
      </c>
      <c r="F169" s="122">
        <f t="shared" si="77"/>
        <v>6600</v>
      </c>
      <c r="G169" s="122">
        <f t="shared" si="81"/>
        <v>514800</v>
      </c>
      <c r="H169" s="122">
        <f t="shared" si="78"/>
        <v>92880</v>
      </c>
    </row>
    <row r="170" spans="1:8" ht="17.100000000000001" customHeight="1">
      <c r="A170" s="124">
        <v>7</v>
      </c>
      <c r="B170" s="125" t="s">
        <v>398</v>
      </c>
      <c r="C170" s="124">
        <v>6</v>
      </c>
      <c r="D170" s="122">
        <v>5000</v>
      </c>
      <c r="E170" s="122">
        <f t="shared" si="76"/>
        <v>500</v>
      </c>
      <c r="F170" s="122">
        <f t="shared" si="77"/>
        <v>5500</v>
      </c>
      <c r="G170" s="122">
        <f t="shared" si="81"/>
        <v>429000</v>
      </c>
      <c r="H170" s="122">
        <f t="shared" si="78"/>
        <v>77400</v>
      </c>
    </row>
    <row r="171" spans="1:8" ht="17.100000000000001" customHeight="1">
      <c r="A171" s="124">
        <v>8</v>
      </c>
      <c r="B171" s="125" t="s">
        <v>171</v>
      </c>
      <c r="C171" s="124">
        <v>4</v>
      </c>
      <c r="D171" s="122">
        <v>5000</v>
      </c>
      <c r="E171" s="122">
        <v>5000</v>
      </c>
      <c r="F171" s="122">
        <v>5000</v>
      </c>
      <c r="G171" s="122">
        <v>5000</v>
      </c>
      <c r="H171" s="122">
        <v>5000</v>
      </c>
    </row>
    <row r="172" spans="1:8" ht="17.100000000000001" customHeight="1">
      <c r="A172" s="124"/>
      <c r="B172" s="118" t="s">
        <v>89</v>
      </c>
      <c r="C172" s="39">
        <f t="shared" ref="C172:H172" si="82">SUM(C163:C171)</f>
        <v>36</v>
      </c>
      <c r="D172" s="38">
        <f t="shared" si="82"/>
        <v>67000</v>
      </c>
      <c r="E172" s="38">
        <f t="shared" si="82"/>
        <v>11200</v>
      </c>
      <c r="F172" s="38">
        <f t="shared" si="82"/>
        <v>73200</v>
      </c>
      <c r="G172" s="38">
        <f>SUM(G163:G171)</f>
        <v>2922200</v>
      </c>
      <c r="H172" s="38">
        <f>SUM(H163:H171)</f>
        <v>531320</v>
      </c>
    </row>
    <row r="174" spans="1:8" ht="18.75" customHeight="1">
      <c r="A174" s="120" t="s">
        <v>97</v>
      </c>
    </row>
    <row r="175" spans="1:8" ht="16.5" customHeight="1">
      <c r="A175" s="120"/>
      <c r="G175" s="82" t="s">
        <v>60</v>
      </c>
      <c r="H175" s="30" t="s">
        <v>61</v>
      </c>
    </row>
    <row r="176" spans="1:8" ht="17.100000000000001" customHeight="1">
      <c r="A176" s="118" t="s">
        <v>1</v>
      </c>
      <c r="B176" s="316" t="s">
        <v>90</v>
      </c>
      <c r="C176" s="316"/>
      <c r="D176" s="118" t="s">
        <v>33</v>
      </c>
      <c r="E176" s="118" t="s">
        <v>34</v>
      </c>
      <c r="F176" s="118" t="s">
        <v>35</v>
      </c>
      <c r="G176" s="118" t="s">
        <v>36</v>
      </c>
      <c r="H176" s="12" t="s">
        <v>37</v>
      </c>
    </row>
    <row r="177" spans="1:9" ht="17.100000000000001" customHeight="1">
      <c r="A177" s="124">
        <v>1</v>
      </c>
      <c r="B177" s="317" t="s">
        <v>91</v>
      </c>
      <c r="C177" s="317"/>
      <c r="D177" s="144">
        <v>0</v>
      </c>
      <c r="E177" s="144">
        <f>C159</f>
        <v>0.03</v>
      </c>
      <c r="F177" s="144">
        <f>E177</f>
        <v>0.03</v>
      </c>
      <c r="G177" s="144">
        <f t="shared" ref="G177:H177" si="83">F177</f>
        <v>0.03</v>
      </c>
      <c r="H177" s="144">
        <f t="shared" si="83"/>
        <v>0.03</v>
      </c>
    </row>
    <row r="178" spans="1:9" ht="17.100000000000001" customHeight="1">
      <c r="A178" s="124">
        <v>2</v>
      </c>
      <c r="B178" s="317" t="s">
        <v>92</v>
      </c>
      <c r="C178" s="317"/>
      <c r="D178" s="158">
        <f>G172</f>
        <v>2922200</v>
      </c>
      <c r="E178" s="159">
        <f>D178*(1+E177)</f>
        <v>3009866</v>
      </c>
      <c r="F178" s="159">
        <f t="shared" ref="F178:H178" si="84">E178*(1+F177)</f>
        <v>3100161.98</v>
      </c>
      <c r="G178" s="159">
        <f t="shared" si="84"/>
        <v>3193166.8393999999</v>
      </c>
      <c r="H178" s="159">
        <f t="shared" si="84"/>
        <v>3288961.8445819998</v>
      </c>
      <c r="I178" s="37"/>
    </row>
    <row r="179" spans="1:9" ht="17.100000000000001" customHeight="1">
      <c r="A179" s="124">
        <v>3</v>
      </c>
      <c r="B179" s="317" t="s">
        <v>93</v>
      </c>
      <c r="C179" s="317"/>
      <c r="D179" s="158">
        <f>H172</f>
        <v>531320</v>
      </c>
      <c r="E179" s="159">
        <f>D179*(1+E177)</f>
        <v>547259.6</v>
      </c>
      <c r="F179" s="159">
        <f t="shared" ref="F179:H179" si="85">E179*(1+F177)</f>
        <v>563677.38800000004</v>
      </c>
      <c r="G179" s="159">
        <f t="shared" si="85"/>
        <v>580587.70964000002</v>
      </c>
      <c r="H179" s="159">
        <f t="shared" si="85"/>
        <v>598005.34092920006</v>
      </c>
      <c r="I179" s="37"/>
    </row>
    <row r="180" spans="1:9" ht="17.100000000000001" customHeight="1">
      <c r="A180" s="104"/>
      <c r="B180" s="162"/>
      <c r="C180" s="162"/>
      <c r="D180" s="156"/>
      <c r="E180" s="157"/>
      <c r="F180" s="157"/>
      <c r="G180" s="157"/>
      <c r="H180" s="157"/>
      <c r="I180" s="37"/>
    </row>
    <row r="181" spans="1:9" ht="17.100000000000001" customHeight="1">
      <c r="A181" s="118" t="s">
        <v>1</v>
      </c>
      <c r="B181" s="316" t="s">
        <v>90</v>
      </c>
      <c r="C181" s="316"/>
      <c r="D181" s="118" t="s">
        <v>50</v>
      </c>
      <c r="E181" s="118" t="s">
        <v>51</v>
      </c>
      <c r="F181" s="118" t="s">
        <v>52</v>
      </c>
      <c r="G181" s="118" t="s">
        <v>53</v>
      </c>
      <c r="H181" s="118" t="s">
        <v>54</v>
      </c>
      <c r="I181" s="37"/>
    </row>
    <row r="182" spans="1:9" ht="17.100000000000001" customHeight="1">
      <c r="A182" s="124">
        <v>1</v>
      </c>
      <c r="B182" s="317" t="s">
        <v>91</v>
      </c>
      <c r="C182" s="317"/>
      <c r="D182" s="144">
        <f>H177</f>
        <v>0.03</v>
      </c>
      <c r="E182" s="144">
        <f>D182</f>
        <v>0.03</v>
      </c>
      <c r="F182" s="144">
        <f t="shared" ref="F182:H182" si="86">E182</f>
        <v>0.03</v>
      </c>
      <c r="G182" s="144">
        <f t="shared" si="86"/>
        <v>0.03</v>
      </c>
      <c r="H182" s="144">
        <f t="shared" si="86"/>
        <v>0.03</v>
      </c>
      <c r="I182" s="37"/>
    </row>
    <row r="183" spans="1:9" ht="17.100000000000001" customHeight="1">
      <c r="A183" s="124">
        <v>2</v>
      </c>
      <c r="B183" s="317" t="s">
        <v>92</v>
      </c>
      <c r="C183" s="317"/>
      <c r="D183" s="159">
        <f>H178*(1+D182)</f>
        <v>3387630.6999194599</v>
      </c>
      <c r="E183" s="159">
        <f>D183*(1+E182)</f>
        <v>3489259.6209170436</v>
      </c>
      <c r="F183" s="159">
        <f t="shared" ref="F183:H183" si="87">E183*(1+F182)</f>
        <v>3593937.409544555</v>
      </c>
      <c r="G183" s="159">
        <f t="shared" si="87"/>
        <v>3701755.531830892</v>
      </c>
      <c r="H183" s="159">
        <f t="shared" si="87"/>
        <v>3812808.1977858189</v>
      </c>
      <c r="I183" s="37"/>
    </row>
    <row r="184" spans="1:9" ht="17.100000000000001" customHeight="1">
      <c r="A184" s="124">
        <v>3</v>
      </c>
      <c r="B184" s="317" t="s">
        <v>93</v>
      </c>
      <c r="C184" s="317"/>
      <c r="D184" s="159">
        <f>H179*(1+D182)</f>
        <v>615945.5011570761</v>
      </c>
      <c r="E184" s="159">
        <f>D184*(1+E182)</f>
        <v>634423.86619178834</v>
      </c>
      <c r="F184" s="159">
        <f t="shared" ref="F184:H184" si="88">E184*(1+F182)</f>
        <v>653456.58217754203</v>
      </c>
      <c r="G184" s="159">
        <f t="shared" si="88"/>
        <v>673060.27964286832</v>
      </c>
      <c r="H184" s="159">
        <f t="shared" si="88"/>
        <v>693252.08803215437</v>
      </c>
      <c r="I184" s="37"/>
    </row>
    <row r="185" spans="1:9" ht="17.100000000000001" customHeight="1">
      <c r="A185" s="104"/>
      <c r="B185" s="162"/>
      <c r="C185" s="162"/>
      <c r="D185" s="156"/>
      <c r="E185" s="157"/>
      <c r="F185" s="157"/>
      <c r="G185" s="157"/>
      <c r="H185" s="157"/>
      <c r="I185" s="37"/>
    </row>
    <row r="186" spans="1:9" ht="17.100000000000001" customHeight="1">
      <c r="A186" s="118" t="s">
        <v>1</v>
      </c>
      <c r="B186" s="316" t="s">
        <v>90</v>
      </c>
      <c r="C186" s="316"/>
      <c r="D186" s="118" t="s">
        <v>55</v>
      </c>
      <c r="E186" s="118" t="s">
        <v>56</v>
      </c>
      <c r="F186" s="118" t="s">
        <v>57</v>
      </c>
      <c r="G186" s="118" t="s">
        <v>58</v>
      </c>
      <c r="H186" s="118" t="s">
        <v>59</v>
      </c>
      <c r="I186" s="37"/>
    </row>
    <row r="187" spans="1:9" ht="17.100000000000001" customHeight="1">
      <c r="A187" s="124">
        <v>1</v>
      </c>
      <c r="B187" s="317" t="s">
        <v>91</v>
      </c>
      <c r="C187" s="317"/>
      <c r="D187" s="144">
        <f>H182</f>
        <v>0.03</v>
      </c>
      <c r="E187" s="144">
        <f>D187</f>
        <v>0.03</v>
      </c>
      <c r="F187" s="144">
        <f t="shared" ref="F187:H187" si="89">E187</f>
        <v>0.03</v>
      </c>
      <c r="G187" s="144">
        <f t="shared" si="89"/>
        <v>0.03</v>
      </c>
      <c r="H187" s="144">
        <f t="shared" si="89"/>
        <v>0.03</v>
      </c>
      <c r="I187" s="37"/>
    </row>
    <row r="188" spans="1:9" ht="17.100000000000001" customHeight="1">
      <c r="A188" s="124">
        <v>2</v>
      </c>
      <c r="B188" s="317" t="s">
        <v>92</v>
      </c>
      <c r="C188" s="317"/>
      <c r="D188" s="159">
        <f>H183*(1+D187)</f>
        <v>3927192.4437193936</v>
      </c>
      <c r="E188" s="159">
        <f>D188*(1+E187)</f>
        <v>4045008.2170309755</v>
      </c>
      <c r="F188" s="159">
        <f t="shared" ref="F188" si="90">E188*(1+F187)</f>
        <v>4166358.4635419049</v>
      </c>
      <c r="G188" s="159">
        <f t="shared" ref="G188" si="91">F188*(1+G187)</f>
        <v>4291349.2174481619</v>
      </c>
      <c r="H188" s="159">
        <f t="shared" ref="H188" si="92">G188*(1+H187)</f>
        <v>4420089.6939716069</v>
      </c>
      <c r="I188" s="37"/>
    </row>
    <row r="189" spans="1:9" ht="17.100000000000001" customHeight="1">
      <c r="A189" s="124">
        <v>3</v>
      </c>
      <c r="B189" s="317" t="s">
        <v>93</v>
      </c>
      <c r="C189" s="317"/>
      <c r="D189" s="159">
        <f>H184*(1+D187)</f>
        <v>714049.650673119</v>
      </c>
      <c r="E189" s="159">
        <f>D189*(1+E187)</f>
        <v>735471.14019331255</v>
      </c>
      <c r="F189" s="159">
        <f t="shared" ref="F189:H189" si="93">E189*(1+F187)</f>
        <v>757535.27439911198</v>
      </c>
      <c r="G189" s="159">
        <f t="shared" si="93"/>
        <v>780261.3326310853</v>
      </c>
      <c r="H189" s="159">
        <f t="shared" si="93"/>
        <v>803669.17261001794</v>
      </c>
      <c r="I189" s="37"/>
    </row>
    <row r="190" spans="1:9" ht="17.100000000000001" customHeight="1">
      <c r="A190" s="104"/>
      <c r="B190" s="162"/>
      <c r="C190" s="162"/>
      <c r="D190" s="156"/>
      <c r="E190" s="157"/>
      <c r="F190" s="157"/>
      <c r="G190" s="157"/>
      <c r="H190" s="157"/>
      <c r="I190" s="37"/>
    </row>
    <row r="191" spans="1:9">
      <c r="A191" s="120" t="s">
        <v>237</v>
      </c>
    </row>
    <row r="192" spans="1:9">
      <c r="A192" s="318" t="s">
        <v>402</v>
      </c>
      <c r="B192" s="318"/>
      <c r="C192" s="318"/>
      <c r="D192" s="5">
        <v>0.05</v>
      </c>
      <c r="E192" s="308" t="s">
        <v>403</v>
      </c>
      <c r="F192" s="308"/>
      <c r="G192" s="308"/>
      <c r="H192" s="308"/>
    </row>
    <row r="193" spans="1:9" ht="34.5" customHeight="1">
      <c r="A193" s="318" t="s">
        <v>404</v>
      </c>
      <c r="B193" s="318"/>
      <c r="C193" s="318"/>
      <c r="D193" s="31">
        <v>0.02</v>
      </c>
      <c r="E193" s="308" t="s">
        <v>403</v>
      </c>
      <c r="F193" s="308"/>
      <c r="G193" s="308"/>
      <c r="H193" s="308"/>
    </row>
    <row r="194" spans="1:9" ht="17.100000000000001" customHeight="1">
      <c r="A194" s="318" t="s">
        <v>248</v>
      </c>
      <c r="B194" s="318"/>
      <c r="C194" s="318"/>
      <c r="D194" s="384">
        <v>0.02</v>
      </c>
      <c r="E194" s="308" t="s">
        <v>403</v>
      </c>
      <c r="F194" s="308"/>
      <c r="G194" s="308"/>
      <c r="H194" s="308"/>
      <c r="I194" s="37"/>
    </row>
    <row r="195" spans="1:9" ht="17.100000000000001" customHeight="1">
      <c r="A195" s="104"/>
      <c r="B195" s="162"/>
      <c r="C195" s="162"/>
      <c r="D195" s="156"/>
      <c r="E195" s="157"/>
      <c r="F195" s="157"/>
      <c r="G195" s="157"/>
      <c r="H195" s="157"/>
      <c r="I195" s="37"/>
    </row>
    <row r="196" spans="1:9" ht="17.100000000000001" customHeight="1">
      <c r="A196" s="331" t="s">
        <v>249</v>
      </c>
      <c r="B196" s="331"/>
      <c r="C196" s="331"/>
      <c r="D196" s="331"/>
      <c r="E196" s="331"/>
      <c r="F196" s="331"/>
      <c r="G196" s="331"/>
      <c r="H196" s="331"/>
      <c r="I196" s="37"/>
    </row>
    <row r="197" spans="1:9" ht="17.100000000000001" customHeight="1">
      <c r="A197" s="104"/>
      <c r="B197" s="162"/>
      <c r="C197" s="162"/>
      <c r="D197" s="156"/>
      <c r="E197" s="157"/>
      <c r="F197" s="157"/>
      <c r="G197" s="82" t="s">
        <v>60</v>
      </c>
      <c r="H197" s="30" t="s">
        <v>61</v>
      </c>
      <c r="I197" s="37"/>
    </row>
    <row r="198" spans="1:9" ht="18" customHeight="1">
      <c r="A198" s="319" t="s">
        <v>1</v>
      </c>
      <c r="B198" s="316" t="s">
        <v>90</v>
      </c>
      <c r="C198" s="316"/>
      <c r="D198" s="163" t="s">
        <v>33</v>
      </c>
      <c r="E198" s="164" t="s">
        <v>34</v>
      </c>
      <c r="F198" s="163" t="s">
        <v>35</v>
      </c>
      <c r="G198" s="164" t="s">
        <v>36</v>
      </c>
      <c r="H198" s="163" t="s">
        <v>37</v>
      </c>
      <c r="I198" s="37"/>
    </row>
    <row r="199" spans="1:9" ht="18" customHeight="1">
      <c r="A199" s="319"/>
      <c r="B199" s="316" t="s">
        <v>94</v>
      </c>
      <c r="C199" s="316"/>
      <c r="D199" s="165">
        <v>1</v>
      </c>
      <c r="E199" s="166">
        <v>2</v>
      </c>
      <c r="F199" s="166">
        <v>3</v>
      </c>
      <c r="G199" s="166">
        <v>4</v>
      </c>
      <c r="H199" s="166">
        <v>5</v>
      </c>
      <c r="I199" s="37"/>
    </row>
    <row r="200" spans="1:9" ht="18" customHeight="1">
      <c r="A200" s="124">
        <v>1</v>
      </c>
      <c r="B200" s="317" t="s">
        <v>250</v>
      </c>
      <c r="C200" s="317"/>
      <c r="D200" s="143">
        <f>D178</f>
        <v>2922200</v>
      </c>
      <c r="E200" s="143">
        <f t="shared" ref="E200:H201" si="94">E178</f>
        <v>3009866</v>
      </c>
      <c r="F200" s="143">
        <f t="shared" si="94"/>
        <v>3100161.98</v>
      </c>
      <c r="G200" s="143">
        <f t="shared" si="94"/>
        <v>3193166.8393999999</v>
      </c>
      <c r="H200" s="143">
        <f t="shared" si="94"/>
        <v>3288961.8445819998</v>
      </c>
      <c r="I200" s="37"/>
    </row>
    <row r="201" spans="1:9" ht="18" customHeight="1">
      <c r="A201" s="124">
        <v>2</v>
      </c>
      <c r="B201" s="317" t="s">
        <v>251</v>
      </c>
      <c r="C201" s="317"/>
      <c r="D201" s="143">
        <f>D179</f>
        <v>531320</v>
      </c>
      <c r="E201" s="143">
        <f t="shared" si="94"/>
        <v>547259.6</v>
      </c>
      <c r="F201" s="143">
        <f t="shared" si="94"/>
        <v>563677.38800000004</v>
      </c>
      <c r="G201" s="143">
        <f t="shared" si="94"/>
        <v>580587.70964000002</v>
      </c>
      <c r="H201" s="143">
        <f t="shared" si="94"/>
        <v>598005.34092920006</v>
      </c>
      <c r="I201" s="37"/>
    </row>
    <row r="202" spans="1:9" ht="18" customHeight="1">
      <c r="A202" s="124">
        <v>3</v>
      </c>
      <c r="B202" s="317" t="s">
        <v>405</v>
      </c>
      <c r="C202" s="317"/>
      <c r="D202" s="143">
        <f>$D$192*D124</f>
        <v>727440</v>
      </c>
      <c r="E202" s="143">
        <f t="shared" ref="E202:H202" si="95">$D$192*E124</f>
        <v>749347.48800000013</v>
      </c>
      <c r="F202" s="143">
        <f t="shared" si="95"/>
        <v>771915.35813760012</v>
      </c>
      <c r="G202" s="143">
        <f t="shared" si="95"/>
        <v>795163.52947335562</v>
      </c>
      <c r="H202" s="143">
        <f t="shared" si="95"/>
        <v>819112.52213385107</v>
      </c>
      <c r="I202" s="37"/>
    </row>
    <row r="203" spans="1:9" ht="18" customHeight="1">
      <c r="A203" s="176">
        <v>4</v>
      </c>
      <c r="B203" s="317" t="s">
        <v>501</v>
      </c>
      <c r="C203" s="317"/>
      <c r="D203" s="143">
        <f>$D$193*D124</f>
        <v>290976</v>
      </c>
      <c r="E203" s="143">
        <f t="shared" ref="E203:H203" si="96">$D$193*E124</f>
        <v>299738.99520000006</v>
      </c>
      <c r="F203" s="143">
        <f t="shared" si="96"/>
        <v>308766.14325503999</v>
      </c>
      <c r="G203" s="143">
        <f t="shared" si="96"/>
        <v>318065.41178934224</v>
      </c>
      <c r="H203" s="143">
        <f t="shared" si="96"/>
        <v>327645.00885354041</v>
      </c>
      <c r="I203" s="37"/>
    </row>
    <row r="204" spans="1:9" ht="18" customHeight="1">
      <c r="A204" s="124">
        <v>5</v>
      </c>
      <c r="B204" s="317" t="s">
        <v>258</v>
      </c>
      <c r="C204" s="317"/>
      <c r="D204" s="143">
        <f>$D$194*D124</f>
        <v>290976</v>
      </c>
      <c r="E204" s="143">
        <f t="shared" ref="E204:H204" si="97">$D$194*E124</f>
        <v>299738.99520000006</v>
      </c>
      <c r="F204" s="143">
        <f t="shared" si="97"/>
        <v>308766.14325503999</v>
      </c>
      <c r="G204" s="143">
        <f t="shared" si="97"/>
        <v>318065.41178934224</v>
      </c>
      <c r="H204" s="143">
        <f t="shared" si="97"/>
        <v>327645.00885354041</v>
      </c>
      <c r="I204" s="37"/>
    </row>
    <row r="205" spans="1:9" ht="18" customHeight="1">
      <c r="A205" s="124"/>
      <c r="B205" s="316" t="s">
        <v>259</v>
      </c>
      <c r="C205" s="316"/>
      <c r="D205" s="167">
        <f>SUM(D200:D204)</f>
        <v>4762912</v>
      </c>
      <c r="E205" s="28">
        <f>SUM(E200:E204)</f>
        <v>4905951.0784</v>
      </c>
      <c r="F205" s="28">
        <f>SUM(F200:F204)</f>
        <v>5053287.01264768</v>
      </c>
      <c r="G205" s="28">
        <f>SUM(G200:G204)</f>
        <v>5205048.9020920396</v>
      </c>
      <c r="H205" s="28">
        <f>SUM(H200:H204)</f>
        <v>5361369.7253521327</v>
      </c>
      <c r="I205" s="37"/>
    </row>
    <row r="206" spans="1:9" ht="17.100000000000001" customHeight="1">
      <c r="A206" s="104"/>
      <c r="B206" s="330"/>
      <c r="C206" s="330"/>
      <c r="D206" s="156"/>
      <c r="E206" s="157"/>
      <c r="F206" s="157"/>
      <c r="G206" s="157"/>
      <c r="H206" s="157"/>
      <c r="I206" s="37"/>
    </row>
    <row r="207" spans="1:9" ht="17.100000000000001" customHeight="1">
      <c r="A207" s="319" t="s">
        <v>1</v>
      </c>
      <c r="B207" s="316" t="s">
        <v>90</v>
      </c>
      <c r="C207" s="316"/>
      <c r="D207" s="163" t="s">
        <v>50</v>
      </c>
      <c r="E207" s="164" t="s">
        <v>51</v>
      </c>
      <c r="F207" s="163" t="s">
        <v>52</v>
      </c>
      <c r="G207" s="164" t="s">
        <v>53</v>
      </c>
      <c r="H207" s="163" t="s">
        <v>54</v>
      </c>
      <c r="I207" s="37"/>
    </row>
    <row r="208" spans="1:9" ht="17.100000000000001" customHeight="1">
      <c r="A208" s="319"/>
      <c r="B208" s="316" t="s">
        <v>94</v>
      </c>
      <c r="C208" s="316"/>
      <c r="D208" s="165">
        <v>6</v>
      </c>
      <c r="E208" s="166">
        <v>7</v>
      </c>
      <c r="F208" s="166">
        <v>8</v>
      </c>
      <c r="G208" s="166">
        <v>9</v>
      </c>
      <c r="H208" s="166">
        <v>10</v>
      </c>
      <c r="I208" s="37"/>
    </row>
    <row r="209" spans="1:13" ht="17.100000000000001" customHeight="1">
      <c r="A209" s="176">
        <v>1</v>
      </c>
      <c r="B209" s="317" t="s">
        <v>250</v>
      </c>
      <c r="C209" s="317"/>
      <c r="D209" s="143">
        <f>D183</f>
        <v>3387630.6999194599</v>
      </c>
      <c r="E209" s="143">
        <f t="shared" ref="E209:H209" si="98">E183</f>
        <v>3489259.6209170436</v>
      </c>
      <c r="F209" s="143">
        <f t="shared" si="98"/>
        <v>3593937.409544555</v>
      </c>
      <c r="G209" s="143">
        <f t="shared" si="98"/>
        <v>3701755.531830892</v>
      </c>
      <c r="H209" s="143">
        <f t="shared" si="98"/>
        <v>3812808.1977858189</v>
      </c>
      <c r="I209" s="37"/>
    </row>
    <row r="210" spans="1:13" ht="17.100000000000001" customHeight="1">
      <c r="A210" s="176">
        <v>2</v>
      </c>
      <c r="B210" s="317" t="s">
        <v>251</v>
      </c>
      <c r="C210" s="317"/>
      <c r="D210" s="143">
        <f>D184</f>
        <v>615945.5011570761</v>
      </c>
      <c r="E210" s="143">
        <f t="shared" ref="E210:H210" si="99">E184</f>
        <v>634423.86619178834</v>
      </c>
      <c r="F210" s="143">
        <f t="shared" si="99"/>
        <v>653456.58217754203</v>
      </c>
      <c r="G210" s="143">
        <f t="shared" si="99"/>
        <v>673060.27964286832</v>
      </c>
      <c r="H210" s="143">
        <f t="shared" si="99"/>
        <v>693252.08803215437</v>
      </c>
      <c r="I210" s="37"/>
    </row>
    <row r="211" spans="1:13" ht="17.100000000000001" customHeight="1">
      <c r="A211" s="176">
        <v>3</v>
      </c>
      <c r="B211" s="317" t="s">
        <v>405</v>
      </c>
      <c r="C211" s="317"/>
      <c r="D211" s="143">
        <f>$D$192*D137</f>
        <v>843783.47545410122</v>
      </c>
      <c r="E211" s="143">
        <f t="shared" ref="E211:H211" si="100">$D$192*E137</f>
        <v>869198.16666765907</v>
      </c>
      <c r="F211" s="143">
        <f t="shared" si="100"/>
        <v>895379.03016096377</v>
      </c>
      <c r="G211" s="143">
        <f t="shared" si="100"/>
        <v>922349.17730896501</v>
      </c>
      <c r="H211" s="143">
        <f t="shared" si="100"/>
        <v>950132.41690957791</v>
      </c>
      <c r="I211" s="37"/>
    </row>
    <row r="212" spans="1:13" ht="17.100000000000001" customHeight="1">
      <c r="A212" s="176">
        <v>4</v>
      </c>
      <c r="B212" s="317" t="s">
        <v>501</v>
      </c>
      <c r="C212" s="317"/>
      <c r="D212" s="143">
        <f>$D$193*D137</f>
        <v>337513.39018164045</v>
      </c>
      <c r="E212" s="143">
        <f t="shared" ref="E212:H212" si="101">$D$193*E137</f>
        <v>347679.26666706364</v>
      </c>
      <c r="F212" s="143">
        <f t="shared" si="101"/>
        <v>358151.6120643855</v>
      </c>
      <c r="G212" s="143">
        <f t="shared" si="101"/>
        <v>368939.67092358595</v>
      </c>
      <c r="H212" s="143">
        <f t="shared" si="101"/>
        <v>380052.96676383115</v>
      </c>
      <c r="I212" s="37"/>
    </row>
    <row r="213" spans="1:13" ht="17.100000000000001" customHeight="1">
      <c r="A213" s="176">
        <v>5</v>
      </c>
      <c r="B213" s="317" t="s">
        <v>258</v>
      </c>
      <c r="C213" s="317"/>
      <c r="D213" s="143">
        <f>$D$194*D137</f>
        <v>337513.39018164045</v>
      </c>
      <c r="E213" s="143">
        <f t="shared" ref="E213:H213" si="102">$D$194*E137</f>
        <v>347679.26666706364</v>
      </c>
      <c r="F213" s="143">
        <f t="shared" si="102"/>
        <v>358151.6120643855</v>
      </c>
      <c r="G213" s="143">
        <f t="shared" si="102"/>
        <v>368939.67092358595</v>
      </c>
      <c r="H213" s="143">
        <f t="shared" si="102"/>
        <v>380052.96676383115</v>
      </c>
      <c r="I213" s="37"/>
    </row>
    <row r="214" spans="1:13" ht="17.100000000000001" customHeight="1">
      <c r="A214" s="176"/>
      <c r="B214" s="316" t="s">
        <v>259</v>
      </c>
      <c r="C214" s="316"/>
      <c r="D214" s="167">
        <f>SUM(D209:D213)</f>
        <v>5522386.4568939172</v>
      </c>
      <c r="E214" s="28">
        <f>SUM(E209:E213)</f>
        <v>5688240.1871106178</v>
      </c>
      <c r="F214" s="28">
        <f>SUM(F209:F213)</f>
        <v>5859076.2460118318</v>
      </c>
      <c r="G214" s="28">
        <f>SUM(G209:G213)</f>
        <v>6035044.3306298982</v>
      </c>
      <c r="H214" s="28">
        <f>SUM(H209:H213)</f>
        <v>6216298.6362552131</v>
      </c>
      <c r="I214" s="37"/>
    </row>
    <row r="215" spans="1:13" ht="17.100000000000001" customHeight="1">
      <c r="A215" s="104"/>
      <c r="B215" s="233"/>
      <c r="C215" s="233"/>
      <c r="D215" s="156"/>
      <c r="E215" s="157"/>
      <c r="F215" s="157"/>
      <c r="G215" s="157"/>
      <c r="H215" s="157"/>
      <c r="I215" s="37"/>
    </row>
    <row r="216" spans="1:13" ht="17.100000000000001" customHeight="1">
      <c r="A216" s="319" t="s">
        <v>1</v>
      </c>
      <c r="B216" s="316" t="s">
        <v>90</v>
      </c>
      <c r="C216" s="316"/>
      <c r="D216" s="163" t="s">
        <v>55</v>
      </c>
      <c r="E216" s="164" t="s">
        <v>56</v>
      </c>
      <c r="F216" s="163" t="s">
        <v>57</v>
      </c>
      <c r="G216" s="164" t="s">
        <v>58</v>
      </c>
      <c r="H216" s="163" t="s">
        <v>59</v>
      </c>
      <c r="I216" s="37"/>
    </row>
    <row r="217" spans="1:13" ht="17.100000000000001" customHeight="1">
      <c r="A217" s="319"/>
      <c r="B217" s="316" t="s">
        <v>94</v>
      </c>
      <c r="C217" s="316"/>
      <c r="D217" s="165">
        <v>11</v>
      </c>
      <c r="E217" s="166">
        <v>12</v>
      </c>
      <c r="F217" s="165">
        <v>13</v>
      </c>
      <c r="G217" s="166">
        <v>14</v>
      </c>
      <c r="H217" s="165">
        <v>15</v>
      </c>
      <c r="I217" s="37"/>
    </row>
    <row r="218" spans="1:13" ht="17.100000000000001" customHeight="1">
      <c r="A218" s="176">
        <v>1</v>
      </c>
      <c r="B218" s="317" t="s">
        <v>250</v>
      </c>
      <c r="C218" s="317"/>
      <c r="D218" s="143">
        <f>D188</f>
        <v>3927192.4437193936</v>
      </c>
      <c r="E218" s="143">
        <f t="shared" ref="E218:M218" si="103">E188</f>
        <v>4045008.2170309755</v>
      </c>
      <c r="F218" s="143">
        <f t="shared" si="103"/>
        <v>4166358.4635419049</v>
      </c>
      <c r="G218" s="143">
        <f t="shared" si="103"/>
        <v>4291349.2174481619</v>
      </c>
      <c r="H218" s="143">
        <f t="shared" si="103"/>
        <v>4420089.6939716069</v>
      </c>
      <c r="I218" s="143">
        <f t="shared" si="103"/>
        <v>0</v>
      </c>
      <c r="J218" s="143">
        <f t="shared" si="103"/>
        <v>0</v>
      </c>
      <c r="K218" s="143">
        <f t="shared" si="103"/>
        <v>0</v>
      </c>
      <c r="L218" s="143">
        <f t="shared" si="103"/>
        <v>0</v>
      </c>
      <c r="M218" s="143">
        <f t="shared" si="103"/>
        <v>0</v>
      </c>
    </row>
    <row r="219" spans="1:13" ht="17.100000000000001" customHeight="1">
      <c r="A219" s="176">
        <v>2</v>
      </c>
      <c r="B219" s="317" t="s">
        <v>251</v>
      </c>
      <c r="C219" s="317"/>
      <c r="D219" s="143">
        <f>D189</f>
        <v>714049.650673119</v>
      </c>
      <c r="E219" s="143">
        <f t="shared" ref="E219:M219" si="104">E189</f>
        <v>735471.14019331255</v>
      </c>
      <c r="F219" s="143">
        <f t="shared" si="104"/>
        <v>757535.27439911198</v>
      </c>
      <c r="G219" s="143">
        <f t="shared" si="104"/>
        <v>780261.3326310853</v>
      </c>
      <c r="H219" s="143">
        <f t="shared" si="104"/>
        <v>803669.17261001794</v>
      </c>
      <c r="I219" s="143">
        <f t="shared" si="104"/>
        <v>0</v>
      </c>
      <c r="J219" s="143">
        <f t="shared" si="104"/>
        <v>0</v>
      </c>
      <c r="K219" s="143">
        <f t="shared" si="104"/>
        <v>0</v>
      </c>
      <c r="L219" s="143">
        <f t="shared" si="104"/>
        <v>0</v>
      </c>
      <c r="M219" s="143">
        <f t="shared" si="104"/>
        <v>0</v>
      </c>
    </row>
    <row r="220" spans="1:13" ht="17.100000000000001" customHeight="1">
      <c r="A220" s="176">
        <v>3</v>
      </c>
      <c r="B220" s="317" t="s">
        <v>405</v>
      </c>
      <c r="C220" s="317"/>
      <c r="D220" s="143">
        <f>$D$192*D150</f>
        <v>978753.27623504796</v>
      </c>
      <c r="E220" s="143">
        <f t="shared" ref="E220:H220" si="105">$D$192*E150</f>
        <v>1008237.0227188426</v>
      </c>
      <c r="F220" s="143">
        <f t="shared" si="105"/>
        <v>1038609.6862972782</v>
      </c>
      <c r="G220" s="143">
        <f t="shared" si="105"/>
        <v>1069898.0824256286</v>
      </c>
      <c r="H220" s="143">
        <f t="shared" si="105"/>
        <v>1102129.8357890986</v>
      </c>
      <c r="I220" s="37"/>
    </row>
    <row r="221" spans="1:13" ht="17.100000000000001" customHeight="1">
      <c r="A221" s="176">
        <v>4</v>
      </c>
      <c r="B221" s="317" t="s">
        <v>501</v>
      </c>
      <c r="C221" s="317"/>
      <c r="D221" s="143">
        <f>$D$193*D150</f>
        <v>391501.31049401918</v>
      </c>
      <c r="E221" s="143">
        <f t="shared" ref="E221:H221" si="106">$D$193*E150</f>
        <v>403294.809087537</v>
      </c>
      <c r="F221" s="143">
        <f t="shared" si="106"/>
        <v>415443.87451891124</v>
      </c>
      <c r="G221" s="143">
        <f t="shared" si="106"/>
        <v>427959.23297025135</v>
      </c>
      <c r="H221" s="143">
        <f t="shared" si="106"/>
        <v>440851.93431563943</v>
      </c>
      <c r="I221" s="37"/>
    </row>
    <row r="222" spans="1:13" ht="17.100000000000001" customHeight="1">
      <c r="A222" s="176">
        <v>5</v>
      </c>
      <c r="B222" s="317" t="s">
        <v>258</v>
      </c>
      <c r="C222" s="317"/>
      <c r="D222" s="143">
        <f>$D$194*D150</f>
        <v>391501.31049401918</v>
      </c>
      <c r="E222" s="143">
        <f t="shared" ref="E222:H222" si="107">$D$194*E150</f>
        <v>403294.809087537</v>
      </c>
      <c r="F222" s="143">
        <f t="shared" si="107"/>
        <v>415443.87451891124</v>
      </c>
      <c r="G222" s="143">
        <f t="shared" si="107"/>
        <v>427959.23297025135</v>
      </c>
      <c r="H222" s="143">
        <f t="shared" si="107"/>
        <v>440851.93431563943</v>
      </c>
      <c r="I222" s="37"/>
    </row>
    <row r="223" spans="1:13" ht="17.100000000000001" customHeight="1">
      <c r="A223" s="176"/>
      <c r="B223" s="316" t="s">
        <v>259</v>
      </c>
      <c r="C223" s="316"/>
      <c r="D223" s="167">
        <f>SUM(D218:D222)</f>
        <v>6402997.991615599</v>
      </c>
      <c r="E223" s="28">
        <f>SUM(E218:E222)</f>
        <v>6595305.998118205</v>
      </c>
      <c r="F223" s="28">
        <f>SUM(F218:F222)</f>
        <v>6793391.173276118</v>
      </c>
      <c r="G223" s="28">
        <f>SUM(G218:G222)</f>
        <v>6997427.0984453792</v>
      </c>
      <c r="H223" s="28">
        <f>SUM(H218:H222)</f>
        <v>7207592.5710020019</v>
      </c>
      <c r="I223" s="37"/>
    </row>
    <row r="224" spans="1:13" ht="17.100000000000001" customHeight="1">
      <c r="A224" s="104"/>
      <c r="B224" s="233"/>
      <c r="C224" s="233"/>
      <c r="D224" s="156"/>
      <c r="E224" s="157"/>
      <c r="F224" s="157"/>
      <c r="G224" s="157"/>
      <c r="H224" s="157"/>
      <c r="I224" s="37"/>
    </row>
    <row r="225" spans="1:16">
      <c r="A225" s="120" t="s">
        <v>260</v>
      </c>
    </row>
    <row r="226" spans="1:16" ht="66.75" customHeight="1">
      <c r="A226" s="318" t="s">
        <v>504</v>
      </c>
      <c r="B226" s="318"/>
      <c r="C226" s="318"/>
      <c r="D226" s="318"/>
      <c r="E226" s="318"/>
      <c r="F226" s="318"/>
      <c r="G226" s="318"/>
      <c r="H226" s="318"/>
    </row>
    <row r="227" spans="1:16" ht="18" customHeight="1">
      <c r="A227" s="342" t="s">
        <v>426</v>
      </c>
      <c r="B227" s="342"/>
      <c r="C227" s="342"/>
      <c r="D227" s="342"/>
      <c r="E227" s="342"/>
      <c r="F227" s="342"/>
      <c r="G227" s="342"/>
      <c r="H227" s="342"/>
    </row>
    <row r="228" spans="1:16" ht="18" customHeight="1">
      <c r="A228" s="120" t="s">
        <v>99</v>
      </c>
    </row>
    <row r="229" spans="1:16" ht="18" customHeight="1">
      <c r="G229" s="29" t="s">
        <v>60</v>
      </c>
      <c r="H229" s="30" t="s">
        <v>61</v>
      </c>
      <c r="P229" s="1" t="s">
        <v>498</v>
      </c>
    </row>
    <row r="230" spans="1:16" ht="50.1" customHeight="1">
      <c r="A230" s="274" t="s">
        <v>1</v>
      </c>
      <c r="B230" s="274" t="s">
        <v>100</v>
      </c>
      <c r="C230" s="274" t="s">
        <v>106</v>
      </c>
      <c r="D230" s="274" t="s">
        <v>95</v>
      </c>
      <c r="E230" s="274" t="s">
        <v>101</v>
      </c>
      <c r="F230" s="172" t="s">
        <v>33</v>
      </c>
      <c r="G230" s="172" t="s">
        <v>34</v>
      </c>
      <c r="H230" s="172" t="s">
        <v>35</v>
      </c>
      <c r="O230" s="282" t="s">
        <v>466</v>
      </c>
      <c r="P230" s="283"/>
    </row>
    <row r="231" spans="1:16" ht="17.100000000000001" customHeight="1">
      <c r="A231" s="170" t="s">
        <v>38</v>
      </c>
      <c r="B231" s="170" t="s">
        <v>39</v>
      </c>
      <c r="C231" s="170" t="s">
        <v>40</v>
      </c>
      <c r="D231" s="170" t="s">
        <v>105</v>
      </c>
      <c r="E231" s="170" t="s">
        <v>425</v>
      </c>
      <c r="F231" s="118">
        <v>1</v>
      </c>
      <c r="G231" s="118">
        <v>2</v>
      </c>
      <c r="H231" s="118">
        <v>3</v>
      </c>
      <c r="O231" s="284" t="s">
        <v>467</v>
      </c>
      <c r="P231" s="285">
        <f>6843000000/1.1</f>
        <v>6220909090.90909</v>
      </c>
    </row>
    <row r="232" spans="1:16" ht="17.100000000000001" customHeight="1">
      <c r="A232" s="176">
        <v>1</v>
      </c>
      <c r="B232" s="171" t="s">
        <v>479</v>
      </c>
      <c r="C232" s="175">
        <v>15</v>
      </c>
      <c r="D232" s="241">
        <f>P232/1000</f>
        <v>4717090.9090909092</v>
      </c>
      <c r="E232" s="110">
        <f>1/C232</f>
        <v>6.6666666666666666E-2</v>
      </c>
      <c r="F232" s="47">
        <f>E232*D232</f>
        <v>314472.72727272729</v>
      </c>
      <c r="G232" s="48">
        <f>F232</f>
        <v>314472.72727272729</v>
      </c>
      <c r="H232" s="48">
        <f>G232</f>
        <v>314472.72727272729</v>
      </c>
      <c r="J232" s="1">
        <f>100/15</f>
        <v>6.666666666666667</v>
      </c>
      <c r="O232" s="284" t="s">
        <v>469</v>
      </c>
      <c r="P232" s="285">
        <f>5188800000/1.1</f>
        <v>4717090909.090909</v>
      </c>
    </row>
    <row r="233" spans="1:16" ht="17.100000000000001" customHeight="1">
      <c r="A233" s="176">
        <v>2</v>
      </c>
      <c r="B233" s="171" t="s">
        <v>173</v>
      </c>
      <c r="C233" s="175">
        <v>6</v>
      </c>
      <c r="D233" s="241">
        <f>P246/1000</f>
        <v>1895800</v>
      </c>
      <c r="E233" s="110">
        <f t="shared" ref="E233:E236" si="108">1/C233</f>
        <v>0.16666666666666666</v>
      </c>
      <c r="F233" s="47">
        <f t="shared" ref="F233:F236" si="109">E233*D233</f>
        <v>315966.66666666663</v>
      </c>
      <c r="G233" s="48">
        <f t="shared" ref="G233:H233" si="110">F233</f>
        <v>315966.66666666663</v>
      </c>
      <c r="H233" s="48">
        <f t="shared" si="110"/>
        <v>315966.66666666663</v>
      </c>
      <c r="O233" s="284" t="s">
        <v>470</v>
      </c>
      <c r="P233" s="285">
        <f>342000000/1.1</f>
        <v>310909090.90909088</v>
      </c>
    </row>
    <row r="234" spans="1:16" ht="17.100000000000001" customHeight="1">
      <c r="A234" s="176">
        <v>3</v>
      </c>
      <c r="B234" s="171" t="s">
        <v>435</v>
      </c>
      <c r="C234" s="175">
        <v>10</v>
      </c>
      <c r="D234" s="153">
        <f>P231/1000</f>
        <v>6220909.0909090899</v>
      </c>
      <c r="E234" s="253">
        <f t="shared" si="108"/>
        <v>0.1</v>
      </c>
      <c r="F234" s="47">
        <f t="shared" si="109"/>
        <v>622090.90909090906</v>
      </c>
      <c r="G234" s="48">
        <f t="shared" ref="G234:H234" si="111">F234</f>
        <v>622090.90909090906</v>
      </c>
      <c r="H234" s="48">
        <f t="shared" si="111"/>
        <v>622090.90909090906</v>
      </c>
      <c r="O234" s="284" t="s">
        <v>471</v>
      </c>
      <c r="P234" s="285">
        <f>798000000/1.1</f>
        <v>725454545.45454538</v>
      </c>
    </row>
    <row r="235" spans="1:16" s="251" customFormat="1" ht="45" customHeight="1">
      <c r="A235" s="61">
        <v>4</v>
      </c>
      <c r="B235" s="250" t="s">
        <v>519</v>
      </c>
      <c r="C235" s="216">
        <v>6</v>
      </c>
      <c r="D235" s="244">
        <f>SUM(P233:P237)/1000</f>
        <v>2485136.3636363633</v>
      </c>
      <c r="E235" s="281">
        <f t="shared" si="108"/>
        <v>0.16666666666666666</v>
      </c>
      <c r="F235" s="63">
        <f t="shared" si="109"/>
        <v>414189.39393939386</v>
      </c>
      <c r="G235" s="246">
        <f t="shared" ref="G235:H235" si="112">F235</f>
        <v>414189.39393939386</v>
      </c>
      <c r="H235" s="246">
        <f t="shared" si="112"/>
        <v>414189.39393939386</v>
      </c>
      <c r="O235" s="382" t="s">
        <v>472</v>
      </c>
      <c r="P235" s="383">
        <f>245400000/1.1</f>
        <v>223090909.09090906</v>
      </c>
    </row>
    <row r="236" spans="1:16" ht="17.100000000000001" customHeight="1">
      <c r="A236" s="176">
        <v>5</v>
      </c>
      <c r="B236" s="171" t="s">
        <v>434</v>
      </c>
      <c r="C236" s="175">
        <v>6</v>
      </c>
      <c r="D236" s="244">
        <f>SUM(P238:P245)/1000</f>
        <v>2687433.8181818179</v>
      </c>
      <c r="E236" s="281">
        <f t="shared" si="108"/>
        <v>0.16666666666666666</v>
      </c>
      <c r="F236" s="47">
        <f t="shared" si="109"/>
        <v>447905.63636363629</v>
      </c>
      <c r="G236" s="48">
        <f t="shared" ref="G236:H236" si="113">F236</f>
        <v>447905.63636363629</v>
      </c>
      <c r="H236" s="48">
        <f t="shared" si="113"/>
        <v>447905.63636363629</v>
      </c>
      <c r="O236" s="284" t="s">
        <v>473</v>
      </c>
      <c r="P236" s="285">
        <f>116250000/1.1</f>
        <v>105681818.18181817</v>
      </c>
    </row>
    <row r="237" spans="1:16" ht="17.100000000000001" customHeight="1">
      <c r="A237" s="124"/>
      <c r="B237" s="118" t="s">
        <v>103</v>
      </c>
      <c r="C237" s="242"/>
      <c r="D237" s="249">
        <f>SUM(D232:D236)</f>
        <v>18006370.18181818</v>
      </c>
      <c r="E237" s="15"/>
      <c r="F237" s="49">
        <f>SUM(F232:F236)</f>
        <v>2114625.333333333</v>
      </c>
      <c r="G237" s="49">
        <f t="shared" ref="G237:H237" si="114">SUM(G232:G236)</f>
        <v>2114625.333333333</v>
      </c>
      <c r="H237" s="49">
        <f t="shared" si="114"/>
        <v>2114625.333333333</v>
      </c>
      <c r="O237" s="284" t="s">
        <v>475</v>
      </c>
      <c r="P237" s="285">
        <f>1232000000/1.1</f>
        <v>1120000000</v>
      </c>
    </row>
    <row r="238" spans="1:16" ht="17.100000000000001" customHeight="1">
      <c r="A238" s="124"/>
      <c r="B238" s="118" t="s">
        <v>104</v>
      </c>
      <c r="C238" s="315"/>
      <c r="D238" s="315"/>
      <c r="E238" s="15"/>
      <c r="F238" s="49">
        <f>D237-F237</f>
        <v>15891744.848484848</v>
      </c>
      <c r="G238" s="49">
        <f>F238-G237</f>
        <v>13777119.515151516</v>
      </c>
      <c r="H238" s="49">
        <f>G238-H237</f>
        <v>11662494.181818184</v>
      </c>
      <c r="O238" s="284" t="s">
        <v>445</v>
      </c>
      <c r="P238" s="285">
        <f>50000000/1.1</f>
        <v>45454545.454545453</v>
      </c>
    </row>
    <row r="239" spans="1:16" ht="17.100000000000001" customHeight="1">
      <c r="O239" s="284" t="s">
        <v>474</v>
      </c>
      <c r="P239" s="285">
        <f>320000000/1.1</f>
        <v>290909090.90909088</v>
      </c>
    </row>
    <row r="240" spans="1:16" ht="50.1" customHeight="1">
      <c r="A240" s="274" t="s">
        <v>1</v>
      </c>
      <c r="B240" s="274" t="s">
        <v>100</v>
      </c>
      <c r="C240" s="274" t="s">
        <v>106</v>
      </c>
      <c r="D240" s="274" t="s">
        <v>95</v>
      </c>
      <c r="E240" s="274" t="s">
        <v>101</v>
      </c>
      <c r="F240" s="172" t="s">
        <v>36</v>
      </c>
      <c r="G240" s="172" t="s">
        <v>37</v>
      </c>
      <c r="H240" s="172" t="s">
        <v>50</v>
      </c>
      <c r="O240" s="284" t="s">
        <v>476</v>
      </c>
      <c r="P240" s="285">
        <f>75000000/1.1</f>
        <v>68181818.181818172</v>
      </c>
    </row>
    <row r="241" spans="1:16" ht="17.100000000000001" customHeight="1">
      <c r="A241" s="170" t="s">
        <v>38</v>
      </c>
      <c r="B241" s="170" t="s">
        <v>39</v>
      </c>
      <c r="C241" s="170" t="s">
        <v>40</v>
      </c>
      <c r="D241" s="170" t="s">
        <v>105</v>
      </c>
      <c r="E241" s="170" t="s">
        <v>425</v>
      </c>
      <c r="F241" s="118">
        <v>4</v>
      </c>
      <c r="G241" s="118">
        <v>5</v>
      </c>
      <c r="H241" s="118">
        <v>6</v>
      </c>
      <c r="O241" s="284" t="s">
        <v>414</v>
      </c>
      <c r="P241" s="285">
        <f>835344000/1.1</f>
        <v>759403636.36363626</v>
      </c>
    </row>
    <row r="242" spans="1:16" ht="17.100000000000001" customHeight="1">
      <c r="A242" s="176">
        <v>1</v>
      </c>
      <c r="B242" s="171" t="s">
        <v>479</v>
      </c>
      <c r="C242" s="175">
        <f>C232</f>
        <v>15</v>
      </c>
      <c r="D242" s="241">
        <f>D232</f>
        <v>4717090.9090909092</v>
      </c>
      <c r="E242" s="110">
        <f>1/C242</f>
        <v>6.6666666666666666E-2</v>
      </c>
      <c r="F242" s="47">
        <f>E242*D242</f>
        <v>314472.72727272729</v>
      </c>
      <c r="G242" s="48">
        <f>F242</f>
        <v>314472.72727272729</v>
      </c>
      <c r="H242" s="48">
        <f>G242</f>
        <v>314472.72727272729</v>
      </c>
      <c r="O242" s="284" t="s">
        <v>442</v>
      </c>
      <c r="P242" s="285">
        <f>313513200/1.1</f>
        <v>285012000</v>
      </c>
    </row>
    <row r="243" spans="1:16" ht="17.100000000000001" customHeight="1">
      <c r="A243" s="176">
        <v>2</v>
      </c>
      <c r="B243" s="171" t="s">
        <v>173</v>
      </c>
      <c r="C243" s="225">
        <f t="shared" ref="C243:C246" si="115">C233</f>
        <v>6</v>
      </c>
      <c r="D243" s="241">
        <f t="shared" ref="D243:D246" si="116">D233</f>
        <v>1895800</v>
      </c>
      <c r="E243" s="110">
        <f t="shared" ref="E243:E246" si="117">1/C243</f>
        <v>0.16666666666666666</v>
      </c>
      <c r="F243" s="47">
        <f t="shared" ref="F243:F246" si="118">E243*D243</f>
        <v>315966.66666666663</v>
      </c>
      <c r="G243" s="48">
        <f t="shared" ref="G243:H243" si="119">F243</f>
        <v>315966.66666666663</v>
      </c>
      <c r="H243" s="48">
        <f t="shared" si="119"/>
        <v>315966.66666666663</v>
      </c>
      <c r="O243" s="284" t="s">
        <v>477</v>
      </c>
      <c r="P243" s="285">
        <f>250000000/1.1</f>
        <v>227272727.27272725</v>
      </c>
    </row>
    <row r="244" spans="1:16" ht="17.100000000000001" customHeight="1">
      <c r="A244" s="176">
        <v>3</v>
      </c>
      <c r="B244" s="171" t="s">
        <v>435</v>
      </c>
      <c r="C244" s="225">
        <f t="shared" si="115"/>
        <v>10</v>
      </c>
      <c r="D244" s="241">
        <f t="shared" si="116"/>
        <v>6220909.0909090899</v>
      </c>
      <c r="E244" s="253">
        <f t="shared" si="117"/>
        <v>0.1</v>
      </c>
      <c r="F244" s="47">
        <f t="shared" si="118"/>
        <v>622090.90909090906</v>
      </c>
      <c r="G244" s="48">
        <f t="shared" ref="G244:H244" si="120">F244</f>
        <v>622090.90909090906</v>
      </c>
      <c r="H244" s="48">
        <f t="shared" si="120"/>
        <v>622090.90909090906</v>
      </c>
      <c r="O244" s="284" t="s">
        <v>451</v>
      </c>
      <c r="P244" s="285">
        <f>400000000/1.1</f>
        <v>363636363.63636363</v>
      </c>
    </row>
    <row r="245" spans="1:16" s="251" customFormat="1" ht="45" customHeight="1">
      <c r="A245" s="61">
        <v>4</v>
      </c>
      <c r="B245" s="250" t="s">
        <v>519</v>
      </c>
      <c r="C245" s="225">
        <f t="shared" si="115"/>
        <v>6</v>
      </c>
      <c r="D245" s="381">
        <f t="shared" si="116"/>
        <v>2485136.3636363633</v>
      </c>
      <c r="E245" s="281">
        <f t="shared" si="117"/>
        <v>0.16666666666666666</v>
      </c>
      <c r="F245" s="63">
        <f t="shared" si="118"/>
        <v>414189.39393939386</v>
      </c>
      <c r="G245" s="246">
        <f t="shared" ref="G245:H245" si="121">F245</f>
        <v>414189.39393939386</v>
      </c>
      <c r="H245" s="246">
        <f t="shared" si="121"/>
        <v>414189.39393939386</v>
      </c>
      <c r="O245" s="382" t="s">
        <v>468</v>
      </c>
      <c r="P245" s="383">
        <f>712320000/1.1</f>
        <v>647563636.36363626</v>
      </c>
    </row>
    <row r="246" spans="1:16" ht="17.100000000000001" customHeight="1">
      <c r="A246" s="176">
        <v>5</v>
      </c>
      <c r="B246" s="171" t="s">
        <v>434</v>
      </c>
      <c r="C246" s="225">
        <f t="shared" si="115"/>
        <v>6</v>
      </c>
      <c r="D246" s="241">
        <f t="shared" si="116"/>
        <v>2687433.8181818179</v>
      </c>
      <c r="E246" s="281">
        <f t="shared" si="117"/>
        <v>0.16666666666666666</v>
      </c>
      <c r="F246" s="47">
        <f t="shared" si="118"/>
        <v>447905.63636363629</v>
      </c>
      <c r="G246" s="48">
        <f t="shared" ref="G246:H246" si="122">F246</f>
        <v>447905.63636363629</v>
      </c>
      <c r="H246" s="48">
        <f t="shared" si="122"/>
        <v>447905.63636363629</v>
      </c>
      <c r="O246" s="286" t="s">
        <v>478</v>
      </c>
      <c r="P246" s="287">
        <f>1895800000</f>
        <v>1895800000</v>
      </c>
    </row>
    <row r="247" spans="1:16" ht="17.100000000000001" customHeight="1">
      <c r="A247" s="176"/>
      <c r="B247" s="170" t="s">
        <v>103</v>
      </c>
      <c r="C247" s="242"/>
      <c r="D247" s="249">
        <f>SUM(D242:D246)</f>
        <v>18006370.18181818</v>
      </c>
      <c r="E247" s="15"/>
      <c r="F247" s="49">
        <f>SUM(F242:F246)</f>
        <v>2114625.333333333</v>
      </c>
      <c r="G247" s="49">
        <f t="shared" ref="G247" si="123">SUM(G242:G246)</f>
        <v>2114625.333333333</v>
      </c>
      <c r="H247" s="49">
        <f t="shared" ref="H247" si="124">SUM(H242:H246)</f>
        <v>2114625.333333333</v>
      </c>
    </row>
    <row r="248" spans="1:16" ht="17.100000000000001" customHeight="1">
      <c r="A248" s="124"/>
      <c r="B248" s="118" t="s">
        <v>104</v>
      </c>
      <c r="C248" s="315"/>
      <c r="D248" s="315"/>
      <c r="E248" s="15"/>
      <c r="F248" s="49">
        <f>H238-F247</f>
        <v>9547868.8484848514</v>
      </c>
      <c r="G248" s="49">
        <f>F248-G247</f>
        <v>7433243.5151515184</v>
      </c>
      <c r="H248" s="49">
        <f>G248-H247</f>
        <v>5318618.1818181854</v>
      </c>
    </row>
    <row r="249" spans="1:16" ht="17.100000000000001" customHeight="1"/>
    <row r="250" spans="1:16" ht="50.1" customHeight="1">
      <c r="A250" s="274" t="s">
        <v>1</v>
      </c>
      <c r="B250" s="274" t="s">
        <v>100</v>
      </c>
      <c r="C250" s="274" t="s">
        <v>106</v>
      </c>
      <c r="D250" s="274" t="s">
        <v>95</v>
      </c>
      <c r="E250" s="274" t="s">
        <v>101</v>
      </c>
      <c r="F250" s="230" t="s">
        <v>51</v>
      </c>
      <c r="G250" s="230" t="s">
        <v>52</v>
      </c>
      <c r="H250" s="230" t="s">
        <v>53</v>
      </c>
    </row>
    <row r="251" spans="1:16" ht="17.100000000000001" customHeight="1">
      <c r="A251" s="170" t="s">
        <v>38</v>
      </c>
      <c r="B251" s="170" t="s">
        <v>39</v>
      </c>
      <c r="C251" s="170" t="s">
        <v>40</v>
      </c>
      <c r="D251" s="170" t="s">
        <v>105</v>
      </c>
      <c r="E251" s="170" t="s">
        <v>425</v>
      </c>
      <c r="F251" s="118">
        <v>7</v>
      </c>
      <c r="G251" s="118">
        <v>8</v>
      </c>
      <c r="H251" s="118">
        <v>9</v>
      </c>
    </row>
    <row r="252" spans="1:16" ht="17.100000000000001" customHeight="1">
      <c r="A252" s="176">
        <v>1</v>
      </c>
      <c r="B252" s="171" t="s">
        <v>479</v>
      </c>
      <c r="C252" s="175">
        <f>C242</f>
        <v>15</v>
      </c>
      <c r="D252" s="241">
        <f>D242</f>
        <v>4717090.9090909092</v>
      </c>
      <c r="E252" s="110">
        <f>1/C252</f>
        <v>6.6666666666666666E-2</v>
      </c>
      <c r="F252" s="47">
        <f>E252*D252</f>
        <v>314472.72727272729</v>
      </c>
      <c r="G252" s="48">
        <f>F252</f>
        <v>314472.72727272729</v>
      </c>
      <c r="H252" s="48">
        <f>G252</f>
        <v>314472.72727272729</v>
      </c>
    </row>
    <row r="253" spans="1:16" ht="17.100000000000001" customHeight="1">
      <c r="A253" s="176">
        <v>2</v>
      </c>
      <c r="B253" s="171" t="s">
        <v>173</v>
      </c>
      <c r="C253" s="225">
        <f t="shared" ref="C253:C256" si="125">C243</f>
        <v>6</v>
      </c>
      <c r="D253" s="241">
        <f t="shared" ref="D253:D256" si="126">D243</f>
        <v>1895800</v>
      </c>
      <c r="E253" s="110">
        <f t="shared" ref="E253:E256" si="127">1/C253</f>
        <v>0.16666666666666666</v>
      </c>
      <c r="F253" s="47">
        <v>0</v>
      </c>
      <c r="G253" s="48">
        <f t="shared" ref="G253:H253" si="128">F253</f>
        <v>0</v>
      </c>
      <c r="H253" s="48">
        <f t="shared" si="128"/>
        <v>0</v>
      </c>
    </row>
    <row r="254" spans="1:16" ht="17.100000000000001" customHeight="1">
      <c r="A254" s="176">
        <v>3</v>
      </c>
      <c r="B254" s="171" t="s">
        <v>435</v>
      </c>
      <c r="C254" s="225">
        <f t="shared" si="125"/>
        <v>10</v>
      </c>
      <c r="D254" s="241">
        <f t="shared" si="126"/>
        <v>6220909.0909090899</v>
      </c>
      <c r="E254" s="253">
        <f t="shared" si="127"/>
        <v>0.1</v>
      </c>
      <c r="F254" s="47">
        <f t="shared" ref="F253:F256" si="129">E254*D254</f>
        <v>622090.90909090906</v>
      </c>
      <c r="G254" s="48">
        <f t="shared" ref="G254:H254" si="130">F254</f>
        <v>622090.90909090906</v>
      </c>
      <c r="H254" s="48">
        <f t="shared" si="130"/>
        <v>622090.90909090906</v>
      </c>
    </row>
    <row r="255" spans="1:16" s="251" customFormat="1" ht="45" customHeight="1">
      <c r="A255" s="61">
        <v>4</v>
      </c>
      <c r="B255" s="250" t="s">
        <v>519</v>
      </c>
      <c r="C255" s="225">
        <f t="shared" si="125"/>
        <v>6</v>
      </c>
      <c r="D255" s="381">
        <f t="shared" si="126"/>
        <v>2485136.3636363633</v>
      </c>
      <c r="E255" s="281">
        <f t="shared" si="127"/>
        <v>0.16666666666666666</v>
      </c>
      <c r="F255" s="63">
        <v>0</v>
      </c>
      <c r="G255" s="246">
        <f t="shared" ref="G255:H255" si="131">F255</f>
        <v>0</v>
      </c>
      <c r="H255" s="246">
        <f t="shared" si="131"/>
        <v>0</v>
      </c>
    </row>
    <row r="256" spans="1:16" ht="17.100000000000001" customHeight="1">
      <c r="A256" s="176">
        <v>5</v>
      </c>
      <c r="B256" s="171" t="s">
        <v>434</v>
      </c>
      <c r="C256" s="225">
        <f t="shared" si="125"/>
        <v>6</v>
      </c>
      <c r="D256" s="241">
        <f t="shared" si="126"/>
        <v>2687433.8181818179</v>
      </c>
      <c r="E256" s="281">
        <f t="shared" si="127"/>
        <v>0.16666666666666666</v>
      </c>
      <c r="F256" s="47">
        <v>0</v>
      </c>
      <c r="G256" s="48">
        <f t="shared" ref="G256:H256" si="132">F256</f>
        <v>0</v>
      </c>
      <c r="H256" s="48">
        <f t="shared" si="132"/>
        <v>0</v>
      </c>
    </row>
    <row r="257" spans="1:8" ht="17.100000000000001" customHeight="1">
      <c r="A257" s="176"/>
      <c r="B257" s="170" t="s">
        <v>103</v>
      </c>
      <c r="C257" s="242"/>
      <c r="D257" s="249">
        <f>SUM(D252:D256)</f>
        <v>18006370.18181818</v>
      </c>
      <c r="E257" s="15"/>
      <c r="F257" s="49">
        <f>SUM(F252:F256)</f>
        <v>936563.63636363635</v>
      </c>
      <c r="G257" s="49">
        <f t="shared" ref="G257" si="133">SUM(G252:G256)</f>
        <v>936563.63636363635</v>
      </c>
      <c r="H257" s="49">
        <f t="shared" ref="H257" si="134">SUM(H252:H256)</f>
        <v>936563.63636363635</v>
      </c>
    </row>
    <row r="258" spans="1:8" ht="17.100000000000001" customHeight="1">
      <c r="A258" s="124"/>
      <c r="B258" s="118" t="s">
        <v>104</v>
      </c>
      <c r="C258" s="315"/>
      <c r="D258" s="315"/>
      <c r="E258" s="15"/>
      <c r="F258" s="49">
        <f>H248-F257</f>
        <v>4382054.5454545487</v>
      </c>
      <c r="G258" s="49">
        <f>F258-G257</f>
        <v>3445490.9090909124</v>
      </c>
      <c r="H258" s="49">
        <f>G258-H257</f>
        <v>2508927.2727272762</v>
      </c>
    </row>
    <row r="259" spans="1:8" ht="17.100000000000001" customHeight="1"/>
    <row r="260" spans="1:8" ht="50.1" customHeight="1">
      <c r="A260" s="274" t="s">
        <v>1</v>
      </c>
      <c r="B260" s="274" t="s">
        <v>100</v>
      </c>
      <c r="C260" s="274" t="s">
        <v>106</v>
      </c>
      <c r="D260" s="274" t="s">
        <v>95</v>
      </c>
      <c r="E260" s="274" t="s">
        <v>101</v>
      </c>
      <c r="F260" s="230" t="s">
        <v>54</v>
      </c>
      <c r="G260" s="230" t="s">
        <v>55</v>
      </c>
      <c r="H260" s="230" t="s">
        <v>56</v>
      </c>
    </row>
    <row r="261" spans="1:8" ht="17.100000000000001" customHeight="1">
      <c r="A261" s="221" t="s">
        <v>38</v>
      </c>
      <c r="B261" s="221" t="s">
        <v>39</v>
      </c>
      <c r="C261" s="221" t="s">
        <v>40</v>
      </c>
      <c r="D261" s="221" t="s">
        <v>105</v>
      </c>
      <c r="E261" s="221" t="s">
        <v>425</v>
      </c>
      <c r="F261" s="221">
        <v>10</v>
      </c>
      <c r="G261" s="221">
        <v>11</v>
      </c>
      <c r="H261" s="221">
        <v>12</v>
      </c>
    </row>
    <row r="262" spans="1:8" ht="17.100000000000001" customHeight="1">
      <c r="A262" s="176">
        <v>1</v>
      </c>
      <c r="B262" s="226" t="s">
        <v>479</v>
      </c>
      <c r="C262" s="225">
        <f>C252</f>
        <v>15</v>
      </c>
      <c r="D262" s="241">
        <f>D252</f>
        <v>4717090.9090909092</v>
      </c>
      <c r="E262" s="110">
        <f>1/C262</f>
        <v>6.6666666666666666E-2</v>
      </c>
      <c r="F262" s="47">
        <f>E262*D262</f>
        <v>314472.72727272729</v>
      </c>
      <c r="G262" s="48">
        <f>F262</f>
        <v>314472.72727272729</v>
      </c>
      <c r="H262" s="48">
        <f>G262</f>
        <v>314472.72727272729</v>
      </c>
    </row>
    <row r="263" spans="1:8" ht="17.100000000000001" customHeight="1">
      <c r="A263" s="176">
        <v>2</v>
      </c>
      <c r="B263" s="226" t="s">
        <v>173</v>
      </c>
      <c r="C263" s="225">
        <f t="shared" ref="C263:C266" si="135">C253</f>
        <v>6</v>
      </c>
      <c r="D263" s="241">
        <f t="shared" ref="D263:D266" si="136">D253</f>
        <v>1895800</v>
      </c>
      <c r="E263" s="110">
        <f t="shared" ref="E263:E266" si="137">1/C263</f>
        <v>0.16666666666666666</v>
      </c>
      <c r="F263" s="47">
        <v>0</v>
      </c>
      <c r="G263" s="48">
        <v>0</v>
      </c>
      <c r="H263" s="48">
        <f t="shared" ref="H263:H266" si="138">G263</f>
        <v>0</v>
      </c>
    </row>
    <row r="264" spans="1:8" ht="17.100000000000001" customHeight="1">
      <c r="A264" s="176">
        <v>3</v>
      </c>
      <c r="B264" s="226" t="s">
        <v>435</v>
      </c>
      <c r="C264" s="225">
        <f t="shared" si="135"/>
        <v>10</v>
      </c>
      <c r="D264" s="241">
        <f t="shared" si="136"/>
        <v>6220909.0909090899</v>
      </c>
      <c r="E264" s="253">
        <f t="shared" si="137"/>
        <v>0.1</v>
      </c>
      <c r="F264" s="47">
        <f t="shared" ref="F263:F266" si="139">E264*D264</f>
        <v>622090.90909090906</v>
      </c>
      <c r="G264" s="48">
        <v>0</v>
      </c>
      <c r="H264" s="48">
        <f t="shared" si="138"/>
        <v>0</v>
      </c>
    </row>
    <row r="265" spans="1:8" s="251" customFormat="1" ht="45" customHeight="1">
      <c r="A265" s="61">
        <v>4</v>
      </c>
      <c r="B265" s="250" t="s">
        <v>519</v>
      </c>
      <c r="C265" s="225">
        <f t="shared" si="135"/>
        <v>6</v>
      </c>
      <c r="D265" s="381">
        <f t="shared" si="136"/>
        <v>2485136.3636363633</v>
      </c>
      <c r="E265" s="281">
        <f t="shared" si="137"/>
        <v>0.16666666666666666</v>
      </c>
      <c r="F265" s="63">
        <v>0</v>
      </c>
      <c r="G265" s="246">
        <f t="shared" ref="G264:G265" si="140">F265</f>
        <v>0</v>
      </c>
      <c r="H265" s="246">
        <f t="shared" si="138"/>
        <v>0</v>
      </c>
    </row>
    <row r="266" spans="1:8" ht="17.100000000000001" customHeight="1">
      <c r="A266" s="176">
        <v>5</v>
      </c>
      <c r="B266" s="226" t="s">
        <v>434</v>
      </c>
      <c r="C266" s="225">
        <f t="shared" si="135"/>
        <v>6</v>
      </c>
      <c r="D266" s="241">
        <f t="shared" si="136"/>
        <v>2687433.8181818179</v>
      </c>
      <c r="E266" s="281">
        <f t="shared" si="137"/>
        <v>0.16666666666666666</v>
      </c>
      <c r="F266" s="47">
        <v>0</v>
      </c>
      <c r="G266" s="48">
        <v>0</v>
      </c>
      <c r="H266" s="48">
        <f t="shared" si="138"/>
        <v>0</v>
      </c>
    </row>
    <row r="267" spans="1:8" ht="17.100000000000001" customHeight="1">
      <c r="A267" s="176"/>
      <c r="B267" s="221" t="s">
        <v>103</v>
      </c>
      <c r="C267" s="242"/>
      <c r="D267" s="249">
        <f>SUM(D262:D266)</f>
        <v>18006370.18181818</v>
      </c>
      <c r="E267" s="15"/>
      <c r="F267" s="49">
        <f>SUM(F262:F266)</f>
        <v>936563.63636363635</v>
      </c>
      <c r="G267" s="49">
        <f t="shared" ref="G267:H267" si="141">SUM(G262:G266)</f>
        <v>314472.72727272729</v>
      </c>
      <c r="H267" s="49">
        <f t="shared" si="141"/>
        <v>314472.72727272729</v>
      </c>
    </row>
    <row r="268" spans="1:8" ht="17.100000000000001" customHeight="1">
      <c r="A268" s="176"/>
      <c r="B268" s="221" t="s">
        <v>104</v>
      </c>
      <c r="C268" s="315"/>
      <c r="D268" s="315"/>
      <c r="E268" s="15"/>
      <c r="F268" s="49">
        <f>H258-F267</f>
        <v>1572363.63636364</v>
      </c>
      <c r="G268" s="49">
        <f>F268-G267</f>
        <v>1257890.9090909127</v>
      </c>
      <c r="H268" s="49">
        <f>G268-H267</f>
        <v>943418.18181818537</v>
      </c>
    </row>
    <row r="269" spans="1:8" ht="17.100000000000001" customHeight="1">
      <c r="A269" s="222"/>
      <c r="B269" s="222"/>
      <c r="C269" s="222"/>
      <c r="D269" s="222"/>
    </row>
    <row r="270" spans="1:8" ht="50.1" customHeight="1">
      <c r="A270" s="274" t="s">
        <v>1</v>
      </c>
      <c r="B270" s="274" t="s">
        <v>100</v>
      </c>
      <c r="C270" s="274" t="s">
        <v>106</v>
      </c>
      <c r="D270" s="274" t="s">
        <v>95</v>
      </c>
      <c r="E270" s="274" t="s">
        <v>101</v>
      </c>
      <c r="F270" s="230" t="s">
        <v>57</v>
      </c>
      <c r="G270" s="230" t="s">
        <v>58</v>
      </c>
      <c r="H270" s="230" t="s">
        <v>59</v>
      </c>
    </row>
    <row r="271" spans="1:8" ht="17.100000000000001" customHeight="1">
      <c r="A271" s="221" t="s">
        <v>38</v>
      </c>
      <c r="B271" s="221" t="s">
        <v>39</v>
      </c>
      <c r="C271" s="221" t="s">
        <v>40</v>
      </c>
      <c r="D271" s="221" t="s">
        <v>105</v>
      </c>
      <c r="E271" s="221" t="s">
        <v>425</v>
      </c>
      <c r="F271" s="221">
        <v>13</v>
      </c>
      <c r="G271" s="221">
        <v>14</v>
      </c>
      <c r="H271" s="221">
        <v>15</v>
      </c>
    </row>
    <row r="272" spans="1:8" ht="17.100000000000001" customHeight="1">
      <c r="A272" s="176">
        <v>1</v>
      </c>
      <c r="B272" s="226" t="s">
        <v>479</v>
      </c>
      <c r="C272" s="225">
        <f>C262</f>
        <v>15</v>
      </c>
      <c r="D272" s="241">
        <f>D262</f>
        <v>4717090.9090909092</v>
      </c>
      <c r="E272" s="110">
        <f>1/C272</f>
        <v>6.6666666666666666E-2</v>
      </c>
      <c r="F272" s="47">
        <f>E272*D272</f>
        <v>314472.72727272729</v>
      </c>
      <c r="G272" s="48">
        <f>F272</f>
        <v>314472.72727272729</v>
      </c>
      <c r="H272" s="48">
        <f>G272</f>
        <v>314472.72727272729</v>
      </c>
    </row>
    <row r="273" spans="1:8" ht="17.100000000000001" customHeight="1">
      <c r="A273" s="176">
        <v>2</v>
      </c>
      <c r="B273" s="226" t="s">
        <v>173</v>
      </c>
      <c r="C273" s="225">
        <f t="shared" ref="C273:C276" si="142">C263</f>
        <v>6</v>
      </c>
      <c r="D273" s="241">
        <f t="shared" ref="D273:D276" si="143">D263</f>
        <v>1895800</v>
      </c>
      <c r="E273" s="110">
        <f t="shared" ref="E273:E276" si="144">1/C273</f>
        <v>0.16666666666666666</v>
      </c>
      <c r="F273" s="47">
        <v>0</v>
      </c>
      <c r="G273" s="48">
        <v>0</v>
      </c>
      <c r="H273" s="48">
        <f t="shared" ref="H273:H276" si="145">G273</f>
        <v>0</v>
      </c>
    </row>
    <row r="274" spans="1:8" ht="17.100000000000001" customHeight="1">
      <c r="A274" s="176">
        <v>3</v>
      </c>
      <c r="B274" s="226" t="s">
        <v>435</v>
      </c>
      <c r="C274" s="225">
        <f t="shared" si="142"/>
        <v>10</v>
      </c>
      <c r="D274" s="241">
        <f t="shared" si="143"/>
        <v>6220909.0909090899</v>
      </c>
      <c r="E274" s="253">
        <f t="shared" si="144"/>
        <v>0.1</v>
      </c>
      <c r="F274" s="47">
        <v>0</v>
      </c>
      <c r="G274" s="48">
        <f t="shared" ref="G274:G275" si="146">F274</f>
        <v>0</v>
      </c>
      <c r="H274" s="48">
        <f t="shared" si="145"/>
        <v>0</v>
      </c>
    </row>
    <row r="275" spans="1:8" s="251" customFormat="1" ht="45" customHeight="1">
      <c r="A275" s="61">
        <v>4</v>
      </c>
      <c r="B275" s="250" t="s">
        <v>519</v>
      </c>
      <c r="C275" s="225">
        <f t="shared" si="142"/>
        <v>6</v>
      </c>
      <c r="D275" s="381">
        <f t="shared" si="143"/>
        <v>2485136.3636363633</v>
      </c>
      <c r="E275" s="281">
        <f t="shared" si="144"/>
        <v>0.16666666666666666</v>
      </c>
      <c r="F275" s="63">
        <v>0</v>
      </c>
      <c r="G275" s="246">
        <f t="shared" si="146"/>
        <v>0</v>
      </c>
      <c r="H275" s="246">
        <f t="shared" si="145"/>
        <v>0</v>
      </c>
    </row>
    <row r="276" spans="1:8" ht="17.100000000000001" customHeight="1">
      <c r="A276" s="176">
        <v>5</v>
      </c>
      <c r="B276" s="226" t="s">
        <v>434</v>
      </c>
      <c r="C276" s="225">
        <f t="shared" si="142"/>
        <v>6</v>
      </c>
      <c r="D276" s="241">
        <f t="shared" si="143"/>
        <v>2687433.8181818179</v>
      </c>
      <c r="E276" s="281">
        <f t="shared" si="144"/>
        <v>0.16666666666666666</v>
      </c>
      <c r="F276" s="47">
        <v>0</v>
      </c>
      <c r="G276" s="48">
        <v>0</v>
      </c>
      <c r="H276" s="48">
        <f t="shared" si="145"/>
        <v>0</v>
      </c>
    </row>
    <row r="277" spans="1:8" ht="17.100000000000001" customHeight="1">
      <c r="A277" s="176"/>
      <c r="B277" s="221" t="s">
        <v>103</v>
      </c>
      <c r="C277" s="242"/>
      <c r="D277" s="249">
        <f>SUM(D272:D276)</f>
        <v>18006370.18181818</v>
      </c>
      <c r="E277" s="15"/>
      <c r="F277" s="49">
        <f>SUM(F272:F276)</f>
        <v>314472.72727272729</v>
      </c>
      <c r="G277" s="49">
        <f t="shared" ref="G277:H277" si="147">SUM(G272:G276)</f>
        <v>314472.72727272729</v>
      </c>
      <c r="H277" s="49">
        <f t="shared" si="147"/>
        <v>314472.72727272729</v>
      </c>
    </row>
    <row r="278" spans="1:8" ht="17.100000000000001" customHeight="1">
      <c r="A278" s="176"/>
      <c r="B278" s="221" t="s">
        <v>104</v>
      </c>
      <c r="C278" s="315"/>
      <c r="D278" s="315"/>
      <c r="E278" s="15"/>
      <c r="F278" s="49">
        <f>H268-F277</f>
        <v>628945.45454545808</v>
      </c>
      <c r="G278" s="49">
        <f>F278-G277</f>
        <v>314472.72727273079</v>
      </c>
      <c r="H278" s="49">
        <f>G278-H277</f>
        <v>3.4924596548080444E-9</v>
      </c>
    </row>
    <row r="279" spans="1:8" ht="17.100000000000001" customHeight="1"/>
    <row r="280" spans="1:8" ht="17.100000000000001" customHeight="1">
      <c r="A280" s="120" t="s">
        <v>361</v>
      </c>
    </row>
    <row r="281" spans="1:8" ht="36.75" customHeight="1">
      <c r="A281" s="318" t="s">
        <v>394</v>
      </c>
      <c r="B281" s="318"/>
      <c r="C281" s="318"/>
      <c r="D281" s="318"/>
      <c r="E281" s="318"/>
      <c r="F281" s="318"/>
      <c r="G281" s="318"/>
      <c r="H281" s="318"/>
    </row>
    <row r="282" spans="1:8" ht="17.100000000000001" customHeight="1">
      <c r="A282" s="308" t="s">
        <v>393</v>
      </c>
      <c r="B282" s="308"/>
      <c r="C282" s="308"/>
      <c r="D282" s="308"/>
      <c r="E282" s="215">
        <v>700</v>
      </c>
      <c r="F282" s="1" t="s">
        <v>357</v>
      </c>
    </row>
    <row r="283" spans="1:8" ht="17.100000000000001" customHeight="1">
      <c r="A283" s="308" t="s">
        <v>358</v>
      </c>
      <c r="B283" s="308"/>
      <c r="C283" s="308"/>
      <c r="E283" s="214">
        <v>11040</v>
      </c>
      <c r="F283" s="1" t="s">
        <v>359</v>
      </c>
    </row>
    <row r="284" spans="1:8" ht="17.100000000000001" customHeight="1">
      <c r="A284" s="308" t="s">
        <v>360</v>
      </c>
      <c r="B284" s="308"/>
      <c r="C284" s="308"/>
      <c r="D284" s="308"/>
      <c r="E284" s="5">
        <v>0.05</v>
      </c>
      <c r="F284" s="1" t="s">
        <v>72</v>
      </c>
    </row>
    <row r="285" spans="1:8" ht="17.100000000000001" customHeight="1"/>
    <row r="286" spans="1:8">
      <c r="A286" s="314" t="s">
        <v>261</v>
      </c>
      <c r="B286" s="314"/>
      <c r="C286" s="314"/>
      <c r="D286" s="314"/>
      <c r="E286" s="314"/>
      <c r="F286" s="314"/>
      <c r="G286" s="314"/>
      <c r="H286" s="314"/>
    </row>
    <row r="287" spans="1:8">
      <c r="A287" s="127" t="s">
        <v>117</v>
      </c>
      <c r="B287" s="127"/>
      <c r="C287" s="127"/>
      <c r="D287" s="119">
        <v>10</v>
      </c>
      <c r="E287" s="1" t="s">
        <v>118</v>
      </c>
    </row>
    <row r="288" spans="1:8">
      <c r="A288" s="127" t="s">
        <v>119</v>
      </c>
      <c r="B288" s="127"/>
      <c r="C288" s="127"/>
      <c r="D288" s="5">
        <f>D15</f>
        <v>0.2</v>
      </c>
    </row>
    <row r="289" spans="1:13">
      <c r="A289" s="322" t="s">
        <v>264</v>
      </c>
      <c r="B289" s="322"/>
      <c r="C289" s="322"/>
      <c r="D289" s="322"/>
      <c r="E289" s="322"/>
      <c r="F289" s="322"/>
      <c r="G289" s="322"/>
      <c r="H289" s="322"/>
    </row>
    <row r="290" spans="1:13">
      <c r="A290" s="127"/>
      <c r="B290" s="127"/>
      <c r="C290" s="127"/>
      <c r="G290" s="29" t="s">
        <v>60</v>
      </c>
      <c r="H290" s="30" t="s">
        <v>61</v>
      </c>
    </row>
    <row r="291" spans="1:13" ht="18.95" customHeight="1">
      <c r="A291" s="209" t="s">
        <v>1</v>
      </c>
      <c r="B291" s="311" t="s">
        <v>120</v>
      </c>
      <c r="C291" s="311"/>
      <c r="D291" s="209" t="s">
        <v>33</v>
      </c>
      <c r="E291" s="209" t="s">
        <v>34</v>
      </c>
      <c r="F291" s="209" t="s">
        <v>35</v>
      </c>
      <c r="G291" s="209" t="s">
        <v>36</v>
      </c>
      <c r="H291" s="209" t="s">
        <v>37</v>
      </c>
    </row>
    <row r="292" spans="1:13" ht="18.95" customHeight="1">
      <c r="A292" s="131" t="s">
        <v>41</v>
      </c>
      <c r="B292" s="312" t="s">
        <v>121</v>
      </c>
      <c r="C292" s="312"/>
      <c r="D292" s="58">
        <f>D124</f>
        <v>14548800</v>
      </c>
      <c r="E292" s="58">
        <f t="shared" ref="E292:H292" si="148">E124</f>
        <v>14986949.760000002</v>
      </c>
      <c r="F292" s="58">
        <f t="shared" si="148"/>
        <v>15438307.162752001</v>
      </c>
      <c r="G292" s="58">
        <f t="shared" si="148"/>
        <v>15903270.589467112</v>
      </c>
      <c r="H292" s="58">
        <f t="shared" si="148"/>
        <v>16382250.442677021</v>
      </c>
      <c r="J292" s="112">
        <v>127906739</v>
      </c>
      <c r="K292" s="112">
        <v>138331139</v>
      </c>
      <c r="L292" s="112">
        <v>149605126</v>
      </c>
      <c r="M292" s="112">
        <v>161797944</v>
      </c>
    </row>
    <row r="293" spans="1:13" ht="18.95" customHeight="1">
      <c r="A293" s="59" t="s">
        <v>43</v>
      </c>
      <c r="B293" s="309" t="s">
        <v>122</v>
      </c>
      <c r="C293" s="309"/>
      <c r="D293" s="60">
        <f>SUM(D294:D296)</f>
        <v>6885265.333333333</v>
      </c>
      <c r="E293" s="60">
        <f>SUM(E294:E296)</f>
        <v>7028304.411733333</v>
      </c>
      <c r="F293" s="60">
        <f>SUM(F294:F296)</f>
        <v>7175640.345981013</v>
      </c>
      <c r="G293" s="60">
        <f>SUM(G294:G296)</f>
        <v>7327402.2354253726</v>
      </c>
      <c r="H293" s="60">
        <f>SUM(H294:H296)</f>
        <v>7483723.0586854657</v>
      </c>
      <c r="J293" s="112">
        <f>J295+J296</f>
        <v>127058219</v>
      </c>
      <c r="K293" s="112">
        <f>K295+K296</f>
        <v>137222932</v>
      </c>
      <c r="L293" s="112">
        <f>L295+L296</f>
        <v>148212784</v>
      </c>
      <c r="M293" s="112">
        <f>M295+M296</f>
        <v>160094897</v>
      </c>
    </row>
    <row r="294" spans="1:13" ht="18.95" customHeight="1">
      <c r="A294" s="61">
        <v>1</v>
      </c>
      <c r="B294" s="310" t="s">
        <v>262</v>
      </c>
      <c r="C294" s="310"/>
      <c r="D294" s="115">
        <f>D205</f>
        <v>4762912</v>
      </c>
      <c r="E294" s="115">
        <f t="shared" ref="E294:H294" si="149">E205</f>
        <v>4905951.0784</v>
      </c>
      <c r="F294" s="115">
        <f t="shared" si="149"/>
        <v>5053287.01264768</v>
      </c>
      <c r="G294" s="115">
        <f t="shared" si="149"/>
        <v>5205048.9020920396</v>
      </c>
      <c r="H294" s="115">
        <f t="shared" si="149"/>
        <v>5361369.7253521327</v>
      </c>
      <c r="J294" s="112"/>
      <c r="K294" s="112"/>
      <c r="L294" s="112"/>
      <c r="M294" s="112"/>
    </row>
    <row r="295" spans="1:13" ht="18.95" customHeight="1">
      <c r="A295" s="61">
        <v>2</v>
      </c>
      <c r="B295" s="310" t="s">
        <v>123</v>
      </c>
      <c r="C295" s="310"/>
      <c r="D295" s="62">
        <f>F237</f>
        <v>2114625.333333333</v>
      </c>
      <c r="E295" s="62">
        <f>D295</f>
        <v>2114625.333333333</v>
      </c>
      <c r="F295" s="62">
        <f t="shared" ref="F295:H296" si="150">E295</f>
        <v>2114625.333333333</v>
      </c>
      <c r="G295" s="62">
        <f t="shared" si="150"/>
        <v>2114625.333333333</v>
      </c>
      <c r="H295" s="62">
        <f t="shared" si="150"/>
        <v>2114625.333333333</v>
      </c>
      <c r="J295" s="111">
        <v>125839136</v>
      </c>
      <c r="K295" s="111">
        <v>136003849</v>
      </c>
      <c r="L295" s="111">
        <v>146993701</v>
      </c>
      <c r="M295" s="111">
        <v>158875814</v>
      </c>
    </row>
    <row r="296" spans="1:13" ht="18.95" customHeight="1">
      <c r="A296" s="61">
        <v>3</v>
      </c>
      <c r="B296" s="310" t="s">
        <v>124</v>
      </c>
      <c r="C296" s="310"/>
      <c r="D296" s="216">
        <f>E282*E283/1000</f>
        <v>7728</v>
      </c>
      <c r="E296" s="217">
        <f>D296</f>
        <v>7728</v>
      </c>
      <c r="F296" s="217">
        <f t="shared" si="150"/>
        <v>7728</v>
      </c>
      <c r="G296" s="217">
        <f t="shared" si="150"/>
        <v>7728</v>
      </c>
      <c r="H296" s="217">
        <f t="shared" si="150"/>
        <v>7728</v>
      </c>
      <c r="J296" s="111">
        <v>1219083</v>
      </c>
      <c r="K296" s="111">
        <f>J296</f>
        <v>1219083</v>
      </c>
      <c r="L296" s="111">
        <f>K296</f>
        <v>1219083</v>
      </c>
      <c r="M296" s="111">
        <f>L296</f>
        <v>1219083</v>
      </c>
    </row>
    <row r="297" spans="1:13" ht="18.95" customHeight="1">
      <c r="A297" s="59" t="s">
        <v>125</v>
      </c>
      <c r="B297" s="309" t="s">
        <v>129</v>
      </c>
      <c r="C297" s="309"/>
      <c r="D297" s="64">
        <f>D292-D293</f>
        <v>7663534.666666667</v>
      </c>
      <c r="E297" s="64">
        <f t="shared" ref="E297:H297" si="151">E292-E293</f>
        <v>7958645.3482666686</v>
      </c>
      <c r="F297" s="64">
        <f t="shared" si="151"/>
        <v>8262666.8167709876</v>
      </c>
      <c r="G297" s="64">
        <f t="shared" si="151"/>
        <v>8575868.3540417403</v>
      </c>
      <c r="H297" s="64">
        <f t="shared" si="151"/>
        <v>8898527.3839915544</v>
      </c>
      <c r="J297" s="113">
        <f>J295/J292</f>
        <v>0.98383507377199253</v>
      </c>
      <c r="K297" s="113">
        <f>K295/K292</f>
        <v>0.98317594999344293</v>
      </c>
      <c r="L297" s="113">
        <f t="shared" ref="L297:M297" si="152">L295/L292</f>
        <v>0.9825445486406662</v>
      </c>
      <c r="M297" s="113">
        <f t="shared" si="152"/>
        <v>0.98193963453577626</v>
      </c>
    </row>
    <row r="298" spans="1:13" ht="18.95" customHeight="1">
      <c r="A298" s="61"/>
      <c r="B298" s="310" t="s">
        <v>126</v>
      </c>
      <c r="C298" s="310"/>
      <c r="D298" s="65">
        <f>D297*$D$288</f>
        <v>1532706.9333333336</v>
      </c>
      <c r="E298" s="65">
        <f t="shared" ref="E298:H298" si="153">E297*$D$288</f>
        <v>1591729.0696533339</v>
      </c>
      <c r="F298" s="65">
        <f t="shared" si="153"/>
        <v>1652533.3633541977</v>
      </c>
      <c r="G298" s="65">
        <f t="shared" si="153"/>
        <v>1715173.6708083481</v>
      </c>
      <c r="H298" s="65">
        <f t="shared" si="153"/>
        <v>1779705.4767983109</v>
      </c>
      <c r="I298" s="123" t="s">
        <v>176</v>
      </c>
      <c r="J298" s="114">
        <f>1-J297</f>
        <v>1.616492622800747E-2</v>
      </c>
      <c r="K298" s="114">
        <f t="shared" ref="K298:M298" si="154">1-K297</f>
        <v>1.6824050006557068E-2</v>
      </c>
      <c r="L298" s="114">
        <f t="shared" si="154"/>
        <v>1.7455451359333796E-2</v>
      </c>
      <c r="M298" s="114">
        <f t="shared" si="154"/>
        <v>1.8060365464223738E-2</v>
      </c>
    </row>
    <row r="299" spans="1:13" ht="18.95" customHeight="1">
      <c r="A299" s="59" t="s">
        <v>127</v>
      </c>
      <c r="B299" s="309" t="s">
        <v>128</v>
      </c>
      <c r="C299" s="309"/>
      <c r="D299" s="64">
        <f>D297-D298</f>
        <v>6130827.7333333334</v>
      </c>
      <c r="E299" s="64">
        <f t="shared" ref="E299:H299" si="155">E297-E298</f>
        <v>6366916.2786133345</v>
      </c>
      <c r="F299" s="64">
        <f t="shared" si="155"/>
        <v>6610133.4534167899</v>
      </c>
      <c r="G299" s="64">
        <f t="shared" si="155"/>
        <v>6860694.6832333924</v>
      </c>
      <c r="H299" s="64">
        <f t="shared" si="155"/>
        <v>7118821.9071932435</v>
      </c>
    </row>
    <row r="300" spans="1:13" ht="18.95" customHeight="1">
      <c r="B300" s="313"/>
      <c r="C300" s="313"/>
      <c r="J300" s="113">
        <f>J293/J292</f>
        <v>0.99336610403303305</v>
      </c>
      <c r="K300" s="113">
        <f t="shared" ref="K300:M300" si="156">K293/K292</f>
        <v>0.99198873798039067</v>
      </c>
      <c r="L300" s="113">
        <f t="shared" si="156"/>
        <v>0.99069321996359938</v>
      </c>
      <c r="M300" s="113">
        <f t="shared" si="156"/>
        <v>0.98947423584072247</v>
      </c>
    </row>
    <row r="301" spans="1:13" ht="18.95" customHeight="1">
      <c r="A301" s="220"/>
      <c r="B301" s="220"/>
      <c r="C301" s="220"/>
      <c r="D301" s="222"/>
      <c r="G301" s="29" t="s">
        <v>60</v>
      </c>
      <c r="H301" s="30" t="s">
        <v>61</v>
      </c>
      <c r="J301" s="113"/>
      <c r="K301" s="113"/>
      <c r="L301" s="113"/>
      <c r="M301" s="113"/>
    </row>
    <row r="302" spans="1:13" ht="18.95" customHeight="1">
      <c r="A302" s="209" t="s">
        <v>1</v>
      </c>
      <c r="B302" s="311" t="s">
        <v>120</v>
      </c>
      <c r="C302" s="311"/>
      <c r="D302" s="209" t="s">
        <v>50</v>
      </c>
      <c r="E302" s="209" t="s">
        <v>51</v>
      </c>
      <c r="F302" s="209" t="s">
        <v>52</v>
      </c>
      <c r="G302" s="209" t="s">
        <v>53</v>
      </c>
      <c r="H302" s="209" t="s">
        <v>54</v>
      </c>
      <c r="J302" s="113"/>
      <c r="K302" s="113"/>
      <c r="L302" s="113"/>
      <c r="M302" s="113"/>
    </row>
    <row r="303" spans="1:13" ht="18.95" customHeight="1">
      <c r="A303" s="230" t="s">
        <v>41</v>
      </c>
      <c r="B303" s="312" t="s">
        <v>121</v>
      </c>
      <c r="C303" s="312"/>
      <c r="D303" s="58">
        <f>D137</f>
        <v>16875669.509082023</v>
      </c>
      <c r="E303" s="58">
        <f t="shared" ref="E303:H303" si="157">E137</f>
        <v>17383963.33335318</v>
      </c>
      <c r="F303" s="58">
        <f t="shared" si="157"/>
        <v>17907580.603219274</v>
      </c>
      <c r="G303" s="58">
        <f t="shared" si="157"/>
        <v>18446983.546179298</v>
      </c>
      <c r="H303" s="58">
        <f t="shared" si="157"/>
        <v>19002648.338191558</v>
      </c>
      <c r="J303" s="113"/>
      <c r="K303" s="113"/>
      <c r="L303" s="113"/>
      <c r="M303" s="113"/>
    </row>
    <row r="304" spans="1:13" ht="18.95" customHeight="1">
      <c r="A304" s="59" t="s">
        <v>43</v>
      </c>
      <c r="B304" s="309" t="s">
        <v>122</v>
      </c>
      <c r="C304" s="309"/>
      <c r="D304" s="60">
        <f>SUM(D305:D307)</f>
        <v>7645126.1902272506</v>
      </c>
      <c r="E304" s="60">
        <f>SUM(E305:E307)</f>
        <v>6632918.2234742548</v>
      </c>
      <c r="F304" s="60">
        <f>SUM(F305:F307)</f>
        <v>6803754.2823754689</v>
      </c>
      <c r="G304" s="60">
        <f>SUM(G305:G307)</f>
        <v>6979722.3669935353</v>
      </c>
      <c r="H304" s="60">
        <f>SUM(H305:H307)</f>
        <v>7160976.6726188501</v>
      </c>
      <c r="J304" s="113"/>
      <c r="K304" s="113"/>
      <c r="L304" s="113"/>
      <c r="M304" s="113"/>
    </row>
    <row r="305" spans="1:13" ht="18.95" customHeight="1">
      <c r="A305" s="61">
        <v>1</v>
      </c>
      <c r="B305" s="310" t="s">
        <v>262</v>
      </c>
      <c r="C305" s="310"/>
      <c r="D305" s="115">
        <f>D214</f>
        <v>5522386.4568939172</v>
      </c>
      <c r="E305" s="115">
        <f t="shared" ref="E305:H305" si="158">E214</f>
        <v>5688240.1871106178</v>
      </c>
      <c r="F305" s="115">
        <f t="shared" si="158"/>
        <v>5859076.2460118318</v>
      </c>
      <c r="G305" s="115">
        <f t="shared" si="158"/>
        <v>6035044.3306298982</v>
      </c>
      <c r="H305" s="115">
        <f t="shared" si="158"/>
        <v>6216298.6362552131</v>
      </c>
      <c r="J305" s="113"/>
      <c r="K305" s="113"/>
      <c r="L305" s="113"/>
      <c r="M305" s="113"/>
    </row>
    <row r="306" spans="1:13" ht="18.95" customHeight="1">
      <c r="A306" s="61">
        <v>2</v>
      </c>
      <c r="B306" s="310" t="s">
        <v>123</v>
      </c>
      <c r="C306" s="310"/>
      <c r="D306" s="62">
        <f>H247</f>
        <v>2114625.333333333</v>
      </c>
      <c r="E306" s="62">
        <f>F257</f>
        <v>936563.63636363635</v>
      </c>
      <c r="F306" s="62">
        <f t="shared" ref="F306:F307" si="159">E306</f>
        <v>936563.63636363635</v>
      </c>
      <c r="G306" s="62">
        <f t="shared" ref="G306:G307" si="160">F306</f>
        <v>936563.63636363635</v>
      </c>
      <c r="H306" s="62">
        <f t="shared" ref="H306:H307" si="161">G306</f>
        <v>936563.63636363635</v>
      </c>
      <c r="J306" s="113"/>
      <c r="K306" s="113"/>
      <c r="L306" s="113"/>
      <c r="M306" s="113"/>
    </row>
    <row r="307" spans="1:13" ht="18.95" customHeight="1">
      <c r="A307" s="61">
        <v>3</v>
      </c>
      <c r="B307" s="310" t="s">
        <v>124</v>
      </c>
      <c r="C307" s="310"/>
      <c r="D307" s="216">
        <f>D296*(1+E284)</f>
        <v>8114.4000000000005</v>
      </c>
      <c r="E307" s="217">
        <f>D307</f>
        <v>8114.4000000000005</v>
      </c>
      <c r="F307" s="217">
        <f t="shared" si="159"/>
        <v>8114.4000000000005</v>
      </c>
      <c r="G307" s="217">
        <f t="shared" si="160"/>
        <v>8114.4000000000005</v>
      </c>
      <c r="H307" s="217">
        <f t="shared" si="161"/>
        <v>8114.4000000000005</v>
      </c>
      <c r="J307" s="113"/>
      <c r="K307" s="113"/>
      <c r="L307" s="113"/>
      <c r="M307" s="113"/>
    </row>
    <row r="308" spans="1:13" ht="18.95" customHeight="1">
      <c r="A308" s="59" t="s">
        <v>125</v>
      </c>
      <c r="B308" s="309" t="s">
        <v>129</v>
      </c>
      <c r="C308" s="309"/>
      <c r="D308" s="64">
        <f>D303-D304</f>
        <v>9230543.3188547716</v>
      </c>
      <c r="E308" s="64">
        <f t="shared" ref="E308:H308" si="162">E303-E304</f>
        <v>10751045.109878926</v>
      </c>
      <c r="F308" s="64">
        <f t="shared" si="162"/>
        <v>11103826.320843805</v>
      </c>
      <c r="G308" s="64">
        <f t="shared" si="162"/>
        <v>11467261.179185763</v>
      </c>
      <c r="H308" s="64">
        <f t="shared" si="162"/>
        <v>11841671.665572707</v>
      </c>
      <c r="J308" s="113"/>
      <c r="K308" s="113"/>
      <c r="L308" s="113"/>
      <c r="M308" s="113"/>
    </row>
    <row r="309" spans="1:13" ht="18.95" customHeight="1">
      <c r="A309" s="61"/>
      <c r="B309" s="310" t="s">
        <v>126</v>
      </c>
      <c r="C309" s="310"/>
      <c r="D309" s="65">
        <f>D308*$D$288</f>
        <v>1846108.6637709544</v>
      </c>
      <c r="E309" s="65">
        <f t="shared" ref="E309:H309" si="163">E308*$D$288</f>
        <v>2150209.021975785</v>
      </c>
      <c r="F309" s="65">
        <f t="shared" si="163"/>
        <v>2220765.2641687612</v>
      </c>
      <c r="G309" s="65">
        <f t="shared" si="163"/>
        <v>2293452.2358371527</v>
      </c>
      <c r="H309" s="65">
        <f t="shared" si="163"/>
        <v>2368334.3331145416</v>
      </c>
      <c r="J309" s="113"/>
      <c r="K309" s="113"/>
      <c r="L309" s="113"/>
      <c r="M309" s="113"/>
    </row>
    <row r="310" spans="1:13" ht="18.95" customHeight="1">
      <c r="A310" s="59" t="s">
        <v>127</v>
      </c>
      <c r="B310" s="309" t="s">
        <v>128</v>
      </c>
      <c r="C310" s="309"/>
      <c r="D310" s="64">
        <f>D308-D309</f>
        <v>7384434.6550838174</v>
      </c>
      <c r="E310" s="64">
        <f t="shared" ref="E310:H310" si="164">E308-E309</f>
        <v>8600836.0879031401</v>
      </c>
      <c r="F310" s="64">
        <f t="shared" si="164"/>
        <v>8883061.056675043</v>
      </c>
      <c r="G310" s="64">
        <f t="shared" si="164"/>
        <v>9173808.9433486108</v>
      </c>
      <c r="H310" s="64">
        <f t="shared" si="164"/>
        <v>9473337.3324581645</v>
      </c>
      <c r="J310" s="113"/>
      <c r="K310" s="113"/>
      <c r="L310" s="113"/>
      <c r="M310" s="113"/>
    </row>
    <row r="311" spans="1:13" ht="18.95" customHeight="1">
      <c r="A311" s="222"/>
      <c r="B311" s="222"/>
      <c r="C311" s="222"/>
      <c r="D311" s="222"/>
      <c r="J311" s="113"/>
      <c r="K311" s="113"/>
      <c r="L311" s="113"/>
      <c r="M311" s="113"/>
    </row>
    <row r="312" spans="1:13" ht="18.95" customHeight="1">
      <c r="A312" s="220"/>
      <c r="B312" s="220"/>
      <c r="C312" s="220"/>
      <c r="D312" s="222"/>
      <c r="G312" s="29" t="s">
        <v>60</v>
      </c>
      <c r="H312" s="30" t="s">
        <v>61</v>
      </c>
      <c r="J312" s="113"/>
      <c r="K312" s="113"/>
      <c r="L312" s="113"/>
      <c r="M312" s="113"/>
    </row>
    <row r="313" spans="1:13" ht="18.95" customHeight="1">
      <c r="A313" s="209" t="s">
        <v>1</v>
      </c>
      <c r="B313" s="311" t="s">
        <v>120</v>
      </c>
      <c r="C313" s="311"/>
      <c r="D313" s="209" t="s">
        <v>55</v>
      </c>
      <c r="E313" s="209" t="s">
        <v>56</v>
      </c>
      <c r="F313" s="209" t="s">
        <v>57</v>
      </c>
      <c r="G313" s="209" t="s">
        <v>58</v>
      </c>
      <c r="H313" s="209" t="s">
        <v>59</v>
      </c>
      <c r="J313" s="113"/>
      <c r="K313" s="113"/>
      <c r="L313" s="113"/>
      <c r="M313" s="113"/>
    </row>
    <row r="314" spans="1:13" ht="18.95" customHeight="1">
      <c r="A314" s="230" t="s">
        <v>41</v>
      </c>
      <c r="B314" s="312" t="s">
        <v>121</v>
      </c>
      <c r="C314" s="312"/>
      <c r="D314" s="58">
        <f>D150</f>
        <v>19575065.524700958</v>
      </c>
      <c r="E314" s="58">
        <f t="shared" ref="E314:H314" si="165">E150</f>
        <v>20164740.45437685</v>
      </c>
      <c r="F314" s="58">
        <f t="shared" si="165"/>
        <v>20772193.725945562</v>
      </c>
      <c r="G314" s="58">
        <f t="shared" si="165"/>
        <v>21397961.648512568</v>
      </c>
      <c r="H314" s="58">
        <f t="shared" si="165"/>
        <v>22042596.715781972</v>
      </c>
      <c r="J314" s="113"/>
      <c r="K314" s="113"/>
      <c r="L314" s="113"/>
      <c r="M314" s="113"/>
    </row>
    <row r="315" spans="1:13" ht="18.95" customHeight="1">
      <c r="A315" s="59" t="s">
        <v>43</v>
      </c>
      <c r="B315" s="309" t="s">
        <v>122</v>
      </c>
      <c r="C315" s="309"/>
      <c r="D315" s="60">
        <f>SUM(D316:D318)</f>
        <v>6725990.8388883267</v>
      </c>
      <c r="E315" s="60">
        <f>SUM(E316:E318)</f>
        <v>6918298.8453909326</v>
      </c>
      <c r="F315" s="60">
        <f>SUM(F316:F318)</f>
        <v>7116384.0205488456</v>
      </c>
      <c r="G315" s="60">
        <f>SUM(G316:G318)</f>
        <v>7320419.9457181068</v>
      </c>
      <c r="H315" s="60">
        <f>SUM(H316:H318)</f>
        <v>7530585.4182747295</v>
      </c>
      <c r="J315" s="113"/>
      <c r="K315" s="113"/>
      <c r="L315" s="113"/>
      <c r="M315" s="113"/>
    </row>
    <row r="316" spans="1:13" ht="18.95" customHeight="1">
      <c r="A316" s="61">
        <v>1</v>
      </c>
      <c r="B316" s="310" t="s">
        <v>262</v>
      </c>
      <c r="C316" s="310"/>
      <c r="D316" s="115">
        <f>D223</f>
        <v>6402997.991615599</v>
      </c>
      <c r="E316" s="115">
        <f t="shared" ref="E316:H316" si="166">E223</f>
        <v>6595305.998118205</v>
      </c>
      <c r="F316" s="115">
        <f t="shared" si="166"/>
        <v>6793391.173276118</v>
      </c>
      <c r="G316" s="115">
        <f t="shared" si="166"/>
        <v>6997427.0984453792</v>
      </c>
      <c r="H316" s="115">
        <f t="shared" si="166"/>
        <v>7207592.5710020019</v>
      </c>
      <c r="J316" s="113"/>
      <c r="K316" s="113"/>
      <c r="L316" s="113"/>
      <c r="M316" s="113"/>
    </row>
    <row r="317" spans="1:13" ht="18.95" customHeight="1">
      <c r="A317" s="61">
        <v>2</v>
      </c>
      <c r="B317" s="310" t="s">
        <v>123</v>
      </c>
      <c r="C317" s="310"/>
      <c r="D317" s="62">
        <f>G267</f>
        <v>314472.72727272729</v>
      </c>
      <c r="E317" s="62">
        <f>D317</f>
        <v>314472.72727272729</v>
      </c>
      <c r="F317" s="62">
        <f t="shared" ref="F317:F318" si="167">E317</f>
        <v>314472.72727272729</v>
      </c>
      <c r="G317" s="62">
        <f t="shared" ref="G317:G318" si="168">F317</f>
        <v>314472.72727272729</v>
      </c>
      <c r="H317" s="62">
        <f t="shared" ref="H317:H318" si="169">G317</f>
        <v>314472.72727272729</v>
      </c>
      <c r="J317" s="113"/>
      <c r="K317" s="113"/>
      <c r="L317" s="113"/>
      <c r="M317" s="113"/>
    </row>
    <row r="318" spans="1:13" ht="18.95" customHeight="1">
      <c r="A318" s="61">
        <v>3</v>
      </c>
      <c r="B318" s="310" t="s">
        <v>124</v>
      </c>
      <c r="C318" s="310"/>
      <c r="D318" s="216">
        <f>D307*(1+E284)</f>
        <v>8520.1200000000008</v>
      </c>
      <c r="E318" s="217">
        <f>D318</f>
        <v>8520.1200000000008</v>
      </c>
      <c r="F318" s="217">
        <f t="shared" si="167"/>
        <v>8520.1200000000008</v>
      </c>
      <c r="G318" s="217">
        <f t="shared" si="168"/>
        <v>8520.1200000000008</v>
      </c>
      <c r="H318" s="217">
        <f t="shared" si="169"/>
        <v>8520.1200000000008</v>
      </c>
      <c r="J318" s="113"/>
      <c r="K318" s="113"/>
      <c r="L318" s="113"/>
      <c r="M318" s="113"/>
    </row>
    <row r="319" spans="1:13" ht="18.95" customHeight="1">
      <c r="A319" s="59" t="s">
        <v>125</v>
      </c>
      <c r="B319" s="309" t="s">
        <v>129</v>
      </c>
      <c r="C319" s="309"/>
      <c r="D319" s="64">
        <f>D314-D315</f>
        <v>12849074.685812632</v>
      </c>
      <c r="E319" s="64">
        <f t="shared" ref="E319:H319" si="170">E314-E315</f>
        <v>13246441.608985918</v>
      </c>
      <c r="F319" s="64">
        <f t="shared" si="170"/>
        <v>13655809.705396716</v>
      </c>
      <c r="G319" s="64">
        <f t="shared" si="170"/>
        <v>14077541.702794462</v>
      </c>
      <c r="H319" s="64">
        <f t="shared" si="170"/>
        <v>14512011.297507241</v>
      </c>
      <c r="J319" s="113"/>
      <c r="K319" s="113"/>
      <c r="L319" s="113"/>
      <c r="M319" s="113"/>
    </row>
    <row r="320" spans="1:13" ht="18.95" customHeight="1">
      <c r="A320" s="61"/>
      <c r="B320" s="310" t="s">
        <v>126</v>
      </c>
      <c r="C320" s="310"/>
      <c r="D320" s="65">
        <f>D319*$D$288</f>
        <v>2569814.9371625264</v>
      </c>
      <c r="E320" s="65">
        <f t="shared" ref="E320:H320" si="171">E319*$D$288</f>
        <v>2649288.3217971837</v>
      </c>
      <c r="F320" s="65">
        <f t="shared" si="171"/>
        <v>2731161.9410793432</v>
      </c>
      <c r="G320" s="65">
        <f t="shared" si="171"/>
        <v>2815508.3405588926</v>
      </c>
      <c r="H320" s="65">
        <f t="shared" si="171"/>
        <v>2902402.2595014484</v>
      </c>
      <c r="J320" s="113"/>
      <c r="K320" s="113"/>
      <c r="L320" s="113"/>
      <c r="M320" s="113"/>
    </row>
    <row r="321" spans="1:13" ht="18.95" customHeight="1">
      <c r="A321" s="59" t="s">
        <v>127</v>
      </c>
      <c r="B321" s="309" t="s">
        <v>128</v>
      </c>
      <c r="C321" s="309"/>
      <c r="D321" s="64">
        <f>D319-D320</f>
        <v>10279259.748650106</v>
      </c>
      <c r="E321" s="64">
        <f t="shared" ref="E321:H321" si="172">E319-E320</f>
        <v>10597153.287188735</v>
      </c>
      <c r="F321" s="64">
        <f t="shared" si="172"/>
        <v>10924647.764317373</v>
      </c>
      <c r="G321" s="64">
        <f t="shared" si="172"/>
        <v>11262033.36223557</v>
      </c>
      <c r="H321" s="64">
        <f t="shared" si="172"/>
        <v>11609609.038005793</v>
      </c>
      <c r="J321" s="113"/>
      <c r="K321" s="113"/>
      <c r="L321" s="113"/>
      <c r="M321" s="113"/>
    </row>
    <row r="322" spans="1:13">
      <c r="A322" s="222"/>
      <c r="B322" s="222"/>
      <c r="C322" s="222"/>
      <c r="D322" s="222"/>
      <c r="J322" s="113"/>
      <c r="K322" s="113"/>
      <c r="L322" s="113"/>
      <c r="M322" s="113"/>
    </row>
    <row r="323" spans="1:13" ht="71.25" customHeight="1">
      <c r="A323" s="318" t="s">
        <v>502</v>
      </c>
      <c r="B323" s="318"/>
      <c r="C323" s="318"/>
      <c r="D323" s="318"/>
      <c r="E323" s="318"/>
      <c r="F323" s="318"/>
      <c r="G323" s="318"/>
      <c r="H323" s="318"/>
      <c r="J323" s="116">
        <f>1-J300</f>
        <v>6.6338959669669517E-3</v>
      </c>
      <c r="K323" s="116">
        <f t="shared" ref="K323:M323" si="173">1-K300</f>
        <v>8.0112620196093332E-3</v>
      </c>
      <c r="L323" s="116">
        <f t="shared" si="173"/>
        <v>9.3067800364006192E-3</v>
      </c>
      <c r="M323" s="116">
        <f t="shared" si="173"/>
        <v>1.0525764159277529E-2</v>
      </c>
    </row>
    <row r="324" spans="1:13">
      <c r="D324" s="117"/>
      <c r="E324" s="117"/>
      <c r="F324" s="117"/>
      <c r="G324" s="117"/>
      <c r="H324" s="117"/>
    </row>
  </sheetData>
  <mergeCells count="178">
    <mergeCell ref="A7:H7"/>
    <mergeCell ref="A8:H8"/>
    <mergeCell ref="A9:H9"/>
    <mergeCell ref="A10:H10"/>
    <mergeCell ref="A11:H11"/>
    <mergeCell ref="A14:H14"/>
    <mergeCell ref="A1:H1"/>
    <mergeCell ref="A2:H2"/>
    <mergeCell ref="A3:H3"/>
    <mergeCell ref="A4:C4"/>
    <mergeCell ref="A5:H5"/>
    <mergeCell ref="A6:B6"/>
    <mergeCell ref="B93:C93"/>
    <mergeCell ref="B94:C94"/>
    <mergeCell ref="A33:C33"/>
    <mergeCell ref="B32:D32"/>
    <mergeCell ref="A15:C15"/>
    <mergeCell ref="A16:C16"/>
    <mergeCell ref="A17:C17"/>
    <mergeCell ref="A19:E19"/>
    <mergeCell ref="A18:C18"/>
    <mergeCell ref="A152:H152"/>
    <mergeCell ref="A153:H153"/>
    <mergeCell ref="B176:C176"/>
    <mergeCell ref="B177:C177"/>
    <mergeCell ref="B178:C178"/>
    <mergeCell ref="B74:C74"/>
    <mergeCell ref="B75:C75"/>
    <mergeCell ref="B76:C76"/>
    <mergeCell ref="B77:C77"/>
    <mergeCell ref="B124:C124"/>
    <mergeCell ref="B114:C114"/>
    <mergeCell ref="B115:C115"/>
    <mergeCell ref="B116:C116"/>
    <mergeCell ref="B117:C117"/>
    <mergeCell ref="B81:C81"/>
    <mergeCell ref="B82:C82"/>
    <mergeCell ref="B83:C83"/>
    <mergeCell ref="B84:C84"/>
    <mergeCell ref="B78:C78"/>
    <mergeCell ref="B79:C79"/>
    <mergeCell ref="B80:C80"/>
    <mergeCell ref="B118:C118"/>
    <mergeCell ref="B119:C119"/>
    <mergeCell ref="B120:C120"/>
    <mergeCell ref="A192:C192"/>
    <mergeCell ref="E192:H192"/>
    <mergeCell ref="A193:C193"/>
    <mergeCell ref="E193:H193"/>
    <mergeCell ref="B187:C187"/>
    <mergeCell ref="B188:C188"/>
    <mergeCell ref="B189:C189"/>
    <mergeCell ref="B179:C179"/>
    <mergeCell ref="B181:C181"/>
    <mergeCell ref="B182:C182"/>
    <mergeCell ref="B183:C183"/>
    <mergeCell ref="B184:C184"/>
    <mergeCell ref="B186:C186"/>
    <mergeCell ref="B202:C202"/>
    <mergeCell ref="A196:H196"/>
    <mergeCell ref="A198:A199"/>
    <mergeCell ref="B198:C198"/>
    <mergeCell ref="B199:C199"/>
    <mergeCell ref="B200:C200"/>
    <mergeCell ref="B201:C201"/>
    <mergeCell ref="B203:C203"/>
    <mergeCell ref="A194:C194"/>
    <mergeCell ref="E194:H194"/>
    <mergeCell ref="A282:D282"/>
    <mergeCell ref="C278:D278"/>
    <mergeCell ref="C268:D268"/>
    <mergeCell ref="A226:H226"/>
    <mergeCell ref="A227:H227"/>
    <mergeCell ref="C238:D238"/>
    <mergeCell ref="C258:D258"/>
    <mergeCell ref="C248:D248"/>
    <mergeCell ref="B204:C204"/>
    <mergeCell ref="B205:C205"/>
    <mergeCell ref="B206:C206"/>
    <mergeCell ref="A323:H323"/>
    <mergeCell ref="A12:H12"/>
    <mergeCell ref="A13:H13"/>
    <mergeCell ref="B295:C295"/>
    <mergeCell ref="B296:C296"/>
    <mergeCell ref="B297:C297"/>
    <mergeCell ref="B298:C298"/>
    <mergeCell ref="B299:C299"/>
    <mergeCell ref="B300:C300"/>
    <mergeCell ref="A286:H286"/>
    <mergeCell ref="A289:H289"/>
    <mergeCell ref="B291:C291"/>
    <mergeCell ref="B292:C292"/>
    <mergeCell ref="B293:C293"/>
    <mergeCell ref="B294:C294"/>
    <mergeCell ref="B87:C87"/>
    <mergeCell ref="B88:C88"/>
    <mergeCell ref="B89:C89"/>
    <mergeCell ref="B90:C90"/>
    <mergeCell ref="B91:C91"/>
    <mergeCell ref="B92:C92"/>
    <mergeCell ref="A283:C283"/>
    <mergeCell ref="A284:D284"/>
    <mergeCell ref="A281:H281"/>
    <mergeCell ref="B95:C95"/>
    <mergeCell ref="B96:C96"/>
    <mergeCell ref="B97:C97"/>
    <mergeCell ref="B100:C100"/>
    <mergeCell ref="B101:C101"/>
    <mergeCell ref="B102:C102"/>
    <mergeCell ref="B103:C103"/>
    <mergeCell ref="B104:C104"/>
    <mergeCell ref="B105:C105"/>
    <mergeCell ref="B106:C106"/>
    <mergeCell ref="B107:C107"/>
    <mergeCell ref="B108:C108"/>
    <mergeCell ref="B109:C109"/>
    <mergeCell ref="B110:C110"/>
    <mergeCell ref="B127:C127"/>
    <mergeCell ref="B128:C128"/>
    <mergeCell ref="B129:C129"/>
    <mergeCell ref="B130:C130"/>
    <mergeCell ref="B121:C121"/>
    <mergeCell ref="B122:C122"/>
    <mergeCell ref="B123:C123"/>
    <mergeCell ref="B131:C131"/>
    <mergeCell ref="B132:C132"/>
    <mergeCell ref="B133:C133"/>
    <mergeCell ref="B134:C134"/>
    <mergeCell ref="B135:C135"/>
    <mergeCell ref="B136:C136"/>
    <mergeCell ref="B137:C137"/>
    <mergeCell ref="B140:C140"/>
    <mergeCell ref="B141:C141"/>
    <mergeCell ref="B142:C142"/>
    <mergeCell ref="B143:C143"/>
    <mergeCell ref="B144:C144"/>
    <mergeCell ref="B145:C145"/>
    <mergeCell ref="B146:C146"/>
    <mergeCell ref="B147:C147"/>
    <mergeCell ref="B148:C148"/>
    <mergeCell ref="B149:C149"/>
    <mergeCell ref="B150:C150"/>
    <mergeCell ref="A207:A208"/>
    <mergeCell ref="B207:C207"/>
    <mergeCell ref="B208:C208"/>
    <mergeCell ref="B209:C209"/>
    <mergeCell ref="B210:C210"/>
    <mergeCell ref="B211:C211"/>
    <mergeCell ref="B212:C212"/>
    <mergeCell ref="B213:C213"/>
    <mergeCell ref="B214:C214"/>
    <mergeCell ref="A216:A217"/>
    <mergeCell ref="B216:C216"/>
    <mergeCell ref="B217:C217"/>
    <mergeCell ref="B218:C218"/>
    <mergeCell ref="B219:C219"/>
    <mergeCell ref="B220:C220"/>
    <mergeCell ref="B221:C221"/>
    <mergeCell ref="B222:C222"/>
    <mergeCell ref="B223:C223"/>
    <mergeCell ref="B302:C302"/>
    <mergeCell ref="B303:C303"/>
    <mergeCell ref="B304:C304"/>
    <mergeCell ref="B305:C305"/>
    <mergeCell ref="B306:C306"/>
    <mergeCell ref="B307:C307"/>
    <mergeCell ref="B308:C308"/>
    <mergeCell ref="B309:C309"/>
    <mergeCell ref="B310:C310"/>
    <mergeCell ref="B313:C313"/>
    <mergeCell ref="B314:C314"/>
    <mergeCell ref="B315:C315"/>
    <mergeCell ref="B316:C316"/>
    <mergeCell ref="B317:C317"/>
    <mergeCell ref="B318:C318"/>
    <mergeCell ref="B319:C319"/>
    <mergeCell ref="B320:C320"/>
    <mergeCell ref="B321:C321"/>
  </mergeCells>
  <pageMargins left="0.70866141732283472" right="0.35433070866141736" top="0.74803149606299213" bottom="0.74803149606299213" header="0.31496062992125984" footer="0.31496062992125984"/>
  <pageSetup paperSize="9" scale="79" orientation="portrait" verticalDpi="0" r:id="rId1"/>
  <headerFooter>
    <oddFooter>&amp;R&amp;N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TTDK</vt:lpstr>
      <vt:lpstr>Xang dau Bac Vinh</vt:lpstr>
      <vt:lpstr>Tram Dung Nghi</vt:lpstr>
      <vt:lpstr>Xang dau Tram Dung nghi</vt:lpstr>
      <vt:lpstr>KS Nam Vinh</vt:lpstr>
      <vt:lpstr>Bxe Nam Vinh</vt:lpstr>
      <vt:lpstr>'Bxe Nam Vinh'!Print_Area</vt:lpstr>
      <vt:lpstr>'KS Nam Vinh'!Print_Area</vt:lpstr>
      <vt:lpstr>TTDK!Print_Area</vt:lpstr>
      <vt:lpstr>'Tram Dung Nghi'!Print_Area</vt:lpstr>
      <vt:lpstr>'Xang dau Bac Vinh'!Print_Area</vt:lpstr>
      <vt:lpstr>'Xang dau Tram Dung nghi'!Print_Area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2019-06-07T04:20:08Z</dcterms:modified>
</cp:coreProperties>
</file>