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1355" windowHeight="6300" activeTab="0"/>
  </bookViews>
  <sheets>
    <sheet name="KH SXKD_2018" sheetId="1" r:id="rId1"/>
    <sheet name="DT Tong 2018" sheetId="2" r:id="rId2"/>
    <sheet name="DV khac 2015" sheetId="3" state="hidden" r:id="rId3"/>
    <sheet name="Chi phí 2016" sheetId="4" state="hidden" r:id="rId4"/>
    <sheet name="632_11.2016" sheetId="5" state="hidden" r:id="rId5"/>
    <sheet name="642_11.2016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Builtin0">#REF!</definedName>
    <definedName name="_Fill" hidden="1">#REF!</definedName>
    <definedName name="_xlnm._FilterDatabase" localSheetId="2" hidden="1">'DV khac 2015'!$A$3:$K$3</definedName>
    <definedName name="_sat12">'[2]Bang chiet tinh TBA'!#REF!</definedName>
    <definedName name="_Sat27">'[2]Chiet tinh DZ 22'!#REF!</definedName>
    <definedName name="_Sat6">'[2]Chiet tinh DZ 22'!#REF!</definedName>
    <definedName name="buoc">'[2]Chiet tinh DZ 22'!#REF!</definedName>
    <definedName name="Bust">#REF!</definedName>
    <definedName name="Continue">#REF!</definedName>
    <definedName name="Cot_thep">'[3]Du_lieu'!$C$19</definedName>
    <definedName name="cto">'[4]THCT'!#REF!</definedName>
    <definedName name="Documents_array">#REF!</definedName>
    <definedName name="duong04">'[4]THDZ0,4'!#REF!</definedName>
    <definedName name="duong35">'[4]TH DZ35'!#REF!</definedName>
    <definedName name="Hello">#REF!</definedName>
    <definedName name="HSNC">'[3]Du_lieu'!$C$6</definedName>
    <definedName name="MakeIt">#REF!</definedName>
    <definedName name="Morning">#REF!</definedName>
    <definedName name="Poppy">#REF!</definedName>
    <definedName name="_xlnm.Print_Titles" localSheetId="0">'KH SXKD_2018'!$5:$6</definedName>
    <definedName name="sat12">'[2]Bang chiet tinh TBA'!#REF!</definedName>
    <definedName name="Sat27">'[2]Chiet tinh DZ 22'!#REF!</definedName>
    <definedName name="Sat6">'[2]Chiet tinh DZ 22'!#REF!</definedName>
    <definedName name="satu">'[2]Bang chiet tinh TBA'!#REF!</definedName>
    <definedName name="ThanhXuan110">'[5]KH-Q1,Q2,01'!#REF!</definedName>
    <definedName name="thepU">'[6]TTDZ22'!#REF!</definedName>
    <definedName name="tram">'[4]THTram'!#REF!</definedName>
  </definedNames>
  <calcPr fullCalcOnLoad="1"/>
</workbook>
</file>

<file path=xl/comments1.xml><?xml version="1.0" encoding="utf-8"?>
<comments xmlns="http://schemas.openxmlformats.org/spreadsheetml/2006/main">
  <authors>
    <author>A</author>
    <author>linhntt</author>
  </authors>
  <commentList>
    <comment ref="H1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Cổ tức Nha trang</t>
        </r>
      </text>
    </comment>
    <comment ref="E15" authorId="1">
      <text>
        <r>
          <rPr>
            <b/>
            <sz val="9"/>
            <rFont val="Tahoma"/>
            <family val="2"/>
          </rPr>
          <t>linhntt:</t>
        </r>
        <r>
          <rPr>
            <sz val="9"/>
            <rFont val="Tahoma"/>
            <family val="2"/>
          </rPr>
          <t xml:space="preserve">
lịch tết+ cốc</t>
        </r>
      </text>
    </comment>
    <comment ref="H19" authorId="1">
      <text>
        <r>
          <rPr>
            <sz val="9"/>
            <rFont val="Tahoma"/>
            <family val="2"/>
          </rPr>
          <t>chi tiết ước lãi vay XDCB
( phải trừ phần lãi vốn hóa vào GTCT)</t>
        </r>
      </text>
    </comment>
    <comment ref="E2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cộng lãi nộp chậm BH 2230 ??</t>
        </r>
      </text>
    </comment>
    <comment ref="E25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20.020 do HT 6325 tiền "ủng hộ xuân ấm tình người "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D23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Xem bảng tính mới</t>
        </r>
      </text>
    </comment>
  </commentList>
</comments>
</file>

<file path=xl/comments3.xml><?xml version="1.0" encoding="utf-8"?>
<comments xmlns="http://schemas.openxmlformats.org/spreadsheetml/2006/main">
  <authors>
    <author>linh</author>
    <author>A</author>
  </authors>
  <commentList>
    <comment ref="C43" authorId="0">
      <text>
        <r>
          <rPr>
            <b/>
            <sz val="8"/>
            <rFont val="Tahoma"/>
            <family val="2"/>
          </rPr>
          <t>DV đón trả khách T12</t>
        </r>
      </text>
    </comment>
    <comment ref="C41" authorId="0">
      <text>
        <r>
          <rPr>
            <b/>
            <sz val="8"/>
            <rFont val="Tahoma"/>
            <family val="2"/>
          </rPr>
          <t xml:space="preserve">linh: Lấy bằng T11
</t>
        </r>
        <r>
          <rPr>
            <sz val="8"/>
            <rFont val="Tahoma"/>
            <family val="2"/>
          </rPr>
          <t xml:space="preserve">điện nước văn phòng + đón trả khách t12
</t>
        </r>
      </text>
    </comment>
    <comment ref="B45" authorId="0">
      <text>
        <r>
          <rPr>
            <b/>
            <sz val="8"/>
            <rFont val="Tahoma"/>
            <family val="2"/>
          </rPr>
          <t>l</t>
        </r>
      </text>
    </comment>
    <comment ref="D45" authorId="0">
      <text>
        <r>
          <rPr>
            <b/>
            <sz val="8"/>
            <rFont val="Tahoma"/>
            <family val="2"/>
          </rPr>
          <t>linh:</t>
        </r>
        <r>
          <rPr>
            <sz val="8"/>
            <rFont val="Tahoma"/>
            <family val="2"/>
          </rPr>
          <t xml:space="preserve">
vần còn các khoản nhỏ lẻ như điện nước các ốt</t>
        </r>
      </text>
    </comment>
    <comment ref="B35" authorId="1">
      <text>
        <r>
          <rPr>
            <sz val="9"/>
            <rFont val="Tahoma"/>
            <family val="2"/>
          </rPr>
          <t>05 tháng</t>
        </r>
      </text>
    </comment>
    <comment ref="C34" authorId="1">
      <text>
        <r>
          <rPr>
            <sz val="9"/>
            <rFont val="Tahoma"/>
            <family val="2"/>
          </rPr>
          <t xml:space="preserve">
lấy bằng tháng 11</t>
        </r>
      </text>
    </comment>
    <comment ref="C6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Lấy DT tháng 11</t>
        </r>
      </text>
    </comment>
    <comment ref="C29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Chia bình quân 11 tháng</t>
        </r>
      </text>
    </comment>
    <comment ref="C32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Thu Phạt bổ sung</t>
        </r>
      </text>
    </comment>
    <comment ref="B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Cả tiền điện, nước 3,7 triệu</t>
        </r>
      </text>
    </comment>
    <comment ref="C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tiền điện T12
</t>
        </r>
      </text>
    </comment>
    <comment ref="K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Cả tiền điện, nước 3,7 triệu</t>
        </r>
      </text>
    </comment>
  </commentList>
</comments>
</file>

<file path=xl/sharedStrings.xml><?xml version="1.0" encoding="utf-8"?>
<sst xmlns="http://schemas.openxmlformats.org/spreadsheetml/2006/main" count="360" uniqueCount="257">
  <si>
    <t>TT</t>
  </si>
  <si>
    <t>I</t>
  </si>
  <si>
    <t>Bến xe Vinh</t>
  </si>
  <si>
    <t>II</t>
  </si>
  <si>
    <t>III</t>
  </si>
  <si>
    <t>IV</t>
  </si>
  <si>
    <t>V</t>
  </si>
  <si>
    <t>VI</t>
  </si>
  <si>
    <t>Tổng cộng</t>
  </si>
  <si>
    <t>Tổng giám đốc</t>
  </si>
  <si>
    <t>Trần Minh Thành</t>
  </si>
  <si>
    <t>Nguyễn Thanh Giang</t>
  </si>
  <si>
    <t>Bến xe chợ Vinh</t>
  </si>
  <si>
    <t>Bến xe Nghĩa Đàn</t>
  </si>
  <si>
    <t>Bến xe Nam Đàn</t>
  </si>
  <si>
    <t>Bến xe Cửa Lò</t>
  </si>
  <si>
    <t>Bến xe Quỳ Hợp</t>
  </si>
  <si>
    <t>Bến xe Quế Phong</t>
  </si>
  <si>
    <t>Bến xe Con Cuông</t>
  </si>
  <si>
    <t>Bến xe Tân Kỳ</t>
  </si>
  <si>
    <t>Bến xe Thanh Chương</t>
  </si>
  <si>
    <t>Bến xe Hòa Bình</t>
  </si>
  <si>
    <t>Bến xe Quỳ Châu</t>
  </si>
  <si>
    <t>Đơn vị tính : Nghìn đồng .</t>
  </si>
  <si>
    <t>Đơn vị</t>
  </si>
  <si>
    <t>Doanh thu phục vụ vận tải khách</t>
  </si>
  <si>
    <t>Bến xe Đô Lương</t>
  </si>
  <si>
    <t>Dịch vụ Bông Sen</t>
  </si>
  <si>
    <t>Bến xe Mường xén</t>
  </si>
  <si>
    <t>Tæng céng:</t>
  </si>
  <si>
    <t>CÔNG TY CỔ PHẦN BẾN XE NGHỆ AN</t>
  </si>
  <si>
    <t>Đơn vị tính : Nghìn đồng</t>
  </si>
  <si>
    <t>Chỉ tiêu</t>
  </si>
  <si>
    <t>Mã Doanh thu, chi phí</t>
  </si>
  <si>
    <t>Chi tiết năm báo cáo và năm kế hoạch</t>
  </si>
  <si>
    <t>Ghi chú</t>
  </si>
  <si>
    <t xml:space="preserve">Tỷ lệ %/DT </t>
  </si>
  <si>
    <t>Năm 2013 DT bình quân /tháng</t>
  </si>
  <si>
    <t>Năm 2014 DT bình quân /tháng</t>
  </si>
  <si>
    <t>Tăng
(%)</t>
  </si>
  <si>
    <t>Giảm
(%)</t>
  </si>
  <si>
    <t>Tổng doanh thu bán hàng và cung cấp dịch vụ</t>
  </si>
  <si>
    <t>Doanh thu dịch vụ phục vụ vận tải khách</t>
  </si>
  <si>
    <t>Doanh thu DV Bông Sen</t>
  </si>
  <si>
    <t>DTDV(BSEN)</t>
  </si>
  <si>
    <t>DTKHAC</t>
  </si>
  <si>
    <t>Thuế GTGT đầu ra 10%</t>
  </si>
  <si>
    <t>Doanh thu thuần về bán hàng và cung cấp dịch vụ</t>
  </si>
  <si>
    <t>Giá vốn hàng bán</t>
  </si>
  <si>
    <t xml:space="preserve">Lương, thưởng </t>
  </si>
  <si>
    <t>TK 6321</t>
  </si>
  <si>
    <t xml:space="preserve">KPCĐ, BHXH, BHYT, BHTN </t>
  </si>
  <si>
    <t xml:space="preserve">Chi phí dịch vụ mua ngoài </t>
  </si>
  <si>
    <t>TK 6322</t>
  </si>
  <si>
    <t>CCDC,CP dài hạn  phân bổ</t>
  </si>
  <si>
    <t>Có TK 242</t>
  </si>
  <si>
    <t>CCDC tiêu hao</t>
  </si>
  <si>
    <t>TK 6323</t>
  </si>
  <si>
    <t xml:space="preserve">Khấu hao TSCĐ </t>
  </si>
  <si>
    <t xml:space="preserve">TK 6324 </t>
  </si>
  <si>
    <t xml:space="preserve">Chi phí bằng tiền khác </t>
  </si>
  <si>
    <t>TK 6325</t>
  </si>
  <si>
    <t>Tiền thuê đất</t>
  </si>
  <si>
    <t xml:space="preserve">CP sửa chữa thường xuyên </t>
  </si>
  <si>
    <t>TK 6327</t>
  </si>
  <si>
    <t>Nguyên liệu DV Bông Sen</t>
  </si>
  <si>
    <t>TK 6111</t>
  </si>
  <si>
    <t>Chi phí bán hàng</t>
  </si>
  <si>
    <t>TK641</t>
  </si>
  <si>
    <t>TK642</t>
  </si>
  <si>
    <t xml:space="preserve">Lương, thưởng bộ phận quản lý
</t>
  </si>
  <si>
    <t>TK 6421</t>
  </si>
  <si>
    <t>Chi phí nguyên vật liệu</t>
  </si>
  <si>
    <t>TK 6422</t>
  </si>
  <si>
    <t>CP CCDC + CP DH phân bổ</t>
  </si>
  <si>
    <t>Chi phí đồ dùng tiêu hao</t>
  </si>
  <si>
    <t>TK 6423</t>
  </si>
  <si>
    <t xml:space="preserve">Chi phí KHTSCĐ bộ phận quản lý </t>
  </si>
  <si>
    <t>TK 6424</t>
  </si>
  <si>
    <t xml:space="preserve">Thuế môn bài, phí và lệ phí </t>
  </si>
  <si>
    <t>TK 6425</t>
  </si>
  <si>
    <t xml:space="preserve">Chi phí dich vụ mua ngoài </t>
  </si>
  <si>
    <t>TK 6427</t>
  </si>
  <si>
    <t>Phải trả thù lao HĐQT, BKS</t>
  </si>
  <si>
    <t>TK 6428</t>
  </si>
  <si>
    <t>VII</t>
  </si>
  <si>
    <t>Lợi nhuận gộp về bán hàng và cung cấp DV                    (VII = III - IV-V-VI)</t>
  </si>
  <si>
    <t>VIII</t>
  </si>
  <si>
    <t>Doanh thu hoạt động tài chính</t>
  </si>
  <si>
    <t>IX</t>
  </si>
  <si>
    <t>Chi phí hoạt động tài chính</t>
  </si>
  <si>
    <t>X</t>
  </si>
  <si>
    <t>Lợi nhuận từ HĐ kinh doanh
{X = VII + (VIII - IX)}</t>
  </si>
  <si>
    <t>XI</t>
  </si>
  <si>
    <t>Thu nhập khác</t>
  </si>
  <si>
    <t>XII</t>
  </si>
  <si>
    <t>Chi phí khác</t>
  </si>
  <si>
    <t>XIII</t>
  </si>
  <si>
    <t>XIV</t>
  </si>
  <si>
    <t>Tổng lợi nhuận trước thuế
(XIV = X + XIII )</t>
  </si>
  <si>
    <t>XV</t>
  </si>
  <si>
    <t xml:space="preserve">Chi phí thuế TN hiện hành                  </t>
  </si>
  <si>
    <t>XVI</t>
  </si>
  <si>
    <t>Lợi nhuận sau thuế</t>
  </si>
  <si>
    <t>Tổng Giám đốc</t>
  </si>
  <si>
    <t>Người lập</t>
  </si>
  <si>
    <t>Nguyễn Thị Thùy Linh</t>
  </si>
  <si>
    <t>Mã ND kinh tế</t>
  </si>
  <si>
    <t>TK 6322,63221</t>
  </si>
  <si>
    <t>TK 6323,63231</t>
  </si>
  <si>
    <t>TK 6325,63251</t>
  </si>
  <si>
    <t>TDTDVKHAC</t>
  </si>
  <si>
    <t>TK 63222</t>
  </si>
  <si>
    <r>
      <t>c«ng ty cæ phÇn bÕn xe nghÖ an</t>
    </r>
    <r>
      <rPr>
        <sz val="11"/>
        <rFont val=".VnTime"/>
        <family val="2"/>
      </rPr>
      <t xml:space="preserve">
</t>
    </r>
  </si>
  <si>
    <t>11 tháng</t>
  </si>
  <si>
    <t>tháng 12</t>
  </si>
  <si>
    <t>ĐVT: 1.000</t>
  </si>
  <si>
    <t>Dương Hồng</t>
  </si>
  <si>
    <t>Thành Vinh</t>
  </si>
  <si>
    <t>Tuấn Hiệp</t>
  </si>
  <si>
    <t>Lan Lượng</t>
  </si>
  <si>
    <t>Con Cuông</t>
  </si>
  <si>
    <t>Quỳ Châu</t>
  </si>
  <si>
    <t>Tổng</t>
  </si>
  <si>
    <t>DV khác (51134)</t>
  </si>
  <si>
    <t>DV Kioot(51133)</t>
  </si>
  <si>
    <t>Hưng Thái</t>
  </si>
  <si>
    <t>Hoàng Long</t>
  </si>
  <si>
    <t>Phúc Lợi</t>
  </si>
  <si>
    <t>Viettel</t>
  </si>
  <si>
    <t>điện nước lẻ khoảng</t>
  </si>
  <si>
    <t>rửa xe bến Vinh</t>
  </si>
  <si>
    <t>nhà vệ sinh bến vinh, điện nước bến Vinh</t>
  </si>
  <si>
    <t>văn Minh + điện nước</t>
  </si>
  <si>
    <t>Kiot Bến Vinh</t>
  </si>
  <si>
    <t>Kiot bến chợ Vinh</t>
  </si>
  <si>
    <t>Phan văn Nhuỵ</t>
  </si>
  <si>
    <t>Nguyễn Lương Phương (bến Vinh)</t>
  </si>
  <si>
    <t>Đô lương ( Nhà kho )</t>
  </si>
  <si>
    <t>Rửa xe Nghĩa đàn</t>
  </si>
  <si>
    <t>phí xe tải ( BX Con Cuông )</t>
  </si>
  <si>
    <t>Nguyễn Chí Toàn ( Thanh chương)</t>
  </si>
  <si>
    <t>Nguyễn Hùng Tú ( BX Nghĩa đàn )</t>
  </si>
  <si>
    <t>Dự kiến 2015</t>
  </si>
  <si>
    <t>Hải Mai ( Nghĩa đàn )</t>
  </si>
  <si>
    <t>Hoà Vinh ( Nghĩa đàn )</t>
  </si>
  <si>
    <t>Phan Bá Tuấn Hạnh</t>
  </si>
  <si>
    <t>Võ Thành Sơn</t>
  </si>
  <si>
    <t xml:space="preserve">Phan Thanh Tuấn </t>
  </si>
  <si>
    <t>Nguyễn Hữu Hải</t>
  </si>
  <si>
    <t>đluong</t>
  </si>
  <si>
    <t>35trieeu/năm</t>
  </si>
  <si>
    <t xml:space="preserve">Công ty Trường Thịnh </t>
  </si>
  <si>
    <t>KH 2016</t>
  </si>
  <si>
    <t>( Hỏi lại Hùng )</t>
  </si>
  <si>
    <t>HTX vận tải hành khách</t>
  </si>
  <si>
    <t>HTX Bình Minh</t>
  </si>
  <si>
    <t>Hải Vân</t>
  </si>
  <si>
    <t>Nhà vệ sinh chợ + điện nước</t>
  </si>
  <si>
    <t>Đô lương ( Mai Linh )</t>
  </si>
  <si>
    <t>Mai Linh ( Biển Quảng cáo )</t>
  </si>
  <si>
    <t>Mai Linh ( đón trả khách )</t>
  </si>
  <si>
    <t>Tiền điện Mai Linh</t>
  </si>
  <si>
    <t>KT Hạch toán xe trả khách BX con cuông nhầm vào DT vận tải ( trên phần mềm )</t>
  </si>
  <si>
    <t>Phí</t>
  </si>
  <si>
    <t>Điện, nước</t>
  </si>
  <si>
    <t>CP quản lý doanh nghiệp</t>
  </si>
  <si>
    <t>Thuế GTGT trong DT</t>
  </si>
  <si>
    <t>11 tháng 2016</t>
  </si>
  <si>
    <t xml:space="preserve"> </t>
  </si>
  <si>
    <t>Công ty Cổ phần Bến xe Nghệ An</t>
  </si>
  <si>
    <t>Số 77 Lê Lợi, Vinh, Nghệ An, Tp. Vinh, Nghệ An</t>
  </si>
  <si>
    <t>SỔ TỔNG HỢP CHI PHÍ PHÁT SINH</t>
  </si>
  <si>
    <t>Tài khoản: 632-Giá vốn hàng bán</t>
  </si>
  <si>
    <t>Nhóm mục chi phí: Tất cả</t>
  </si>
  <si>
    <t>Từ ngày 01/01/2016 Đến ngày 30/11/2016</t>
  </si>
  <si>
    <t>VND</t>
  </si>
  <si>
    <t>Số tiền</t>
  </si>
  <si>
    <t>Mã</t>
  </si>
  <si>
    <t>Diễn giải</t>
  </si>
  <si>
    <t>Chi phí phát sinh</t>
  </si>
  <si>
    <t>Chi phí giảm trừ</t>
  </si>
  <si>
    <t>Chi phí thực tế</t>
  </si>
  <si>
    <t>10</t>
  </si>
  <si>
    <t>Nguyên vật liệu</t>
  </si>
  <si>
    <t>31</t>
  </si>
  <si>
    <t>Chi phí nguyên vật liệu - DV Bông Sen</t>
  </si>
  <si>
    <t>20</t>
  </si>
  <si>
    <t>Nhân công</t>
  </si>
  <si>
    <t>Tiền lương</t>
  </si>
  <si>
    <t>22</t>
  </si>
  <si>
    <t>BHXH</t>
  </si>
  <si>
    <t>23</t>
  </si>
  <si>
    <t>BHYT</t>
  </si>
  <si>
    <t>24</t>
  </si>
  <si>
    <t>KPCĐ</t>
  </si>
  <si>
    <t>25</t>
  </si>
  <si>
    <t>BH thất nghiệp</t>
  </si>
  <si>
    <t>30</t>
  </si>
  <si>
    <t>Khấu hao TSCĐ</t>
  </si>
  <si>
    <t>Chi phí khấu hao</t>
  </si>
  <si>
    <t>40</t>
  </si>
  <si>
    <t>Chi phí dịch vụ mua ngoài</t>
  </si>
  <si>
    <t>11</t>
  </si>
  <si>
    <t>Chi phí xây dựng CBDD</t>
  </si>
  <si>
    <t>401</t>
  </si>
  <si>
    <t>Tiền điện</t>
  </si>
  <si>
    <t>499</t>
  </si>
  <si>
    <t>Chi phí dịch vụ mua ngoài khác</t>
  </si>
  <si>
    <t>50</t>
  </si>
  <si>
    <t>Chi phí khác bằng tiền</t>
  </si>
  <si>
    <t>599</t>
  </si>
  <si>
    <t>60</t>
  </si>
  <si>
    <t>Thuế,phí lệ phí</t>
  </si>
  <si>
    <t>601</t>
  </si>
  <si>
    <t>Thuế,phí,lệ phí</t>
  </si>
  <si>
    <t>61</t>
  </si>
  <si>
    <t>Vật rẻ</t>
  </si>
  <si>
    <t>602</t>
  </si>
  <si>
    <t>Chi phí vật rẻ</t>
  </si>
  <si>
    <t>603</t>
  </si>
  <si>
    <t>Chi phí trả trước dài hạn</t>
  </si>
  <si>
    <t>604</t>
  </si>
  <si>
    <t>Chi phí trả trước ngắn hạn</t>
  </si>
  <si>
    <t>62</t>
  </si>
  <si>
    <t>chi phí SCTX TSCĐ</t>
  </si>
  <si>
    <t>SCTX</t>
  </si>
  <si>
    <t>Chi phí SCTX TSCĐ</t>
  </si>
  <si>
    <t xml:space="preserve">                                Tổng cộng</t>
  </si>
  <si>
    <t>Nghệ An, Ngày 11 Tháng 12 Năm 2016</t>
  </si>
  <si>
    <t xml:space="preserve"> Người lập biểu</t>
  </si>
  <si>
    <t>Kế toán trưởng</t>
  </si>
  <si>
    <t>Trang</t>
  </si>
  <si>
    <t>Tài khoản: 642-Chi phí quản lý doanh nghiệp</t>
  </si>
  <si>
    <t>21</t>
  </si>
  <si>
    <t>Ăn ca</t>
  </si>
  <si>
    <t>26</t>
  </si>
  <si>
    <t>Chi phí thù lao HĐQT,BKS</t>
  </si>
  <si>
    <t>Tháng 12 năm 2015</t>
  </si>
  <si>
    <t>TB 1 tháng 2016</t>
  </si>
  <si>
    <t>Ước tháng 12/2016</t>
  </si>
  <si>
    <t>Ước năm 2016</t>
  </si>
  <si>
    <t xml:space="preserve">số k có mục phí </t>
  </si>
  <si>
    <t>số k có mục phí</t>
  </si>
  <si>
    <t>Doanh thu DV gia tăng</t>
  </si>
  <si>
    <t xml:space="preserve"> Thực hiện năm 2017</t>
  </si>
  <si>
    <t>KẾ HOẠCH HOẠT ĐỘNG SẢN XUẤT KINH DOANH NĂM 2018</t>
  </si>
  <si>
    <t>So sánh 2018/2017</t>
  </si>
  <si>
    <t>Kế hoạch năm 2018</t>
  </si>
  <si>
    <t>Lợi nhuận khác                            ( XIII = XI - XII )</t>
  </si>
  <si>
    <t>Vinh, ngày    th¸ng    n¨m 2018</t>
  </si>
  <si>
    <t>Vinh, ngày      tháng      năm 2018</t>
  </si>
  <si>
    <t>Phòng tài chính kế toán             Phòng kế hoạch vận tải</t>
  </si>
  <si>
    <t>Nguyễn Thanh Giang                   Nguyễn Đình Lâm</t>
  </si>
  <si>
    <t xml:space="preserve">KÕ ho¹ch doanh thu n¨m 2018 </t>
  </si>
  <si>
    <t xml:space="preserve"> ( Phương án 2 )</t>
  </si>
  <si>
    <t>( Phương án 2 )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</si>
</sst>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000\-00\-0000"/>
    <numFmt numFmtId="178" formatCode="#,##0.0"/>
    <numFmt numFmtId="179" formatCode="_(* #,##0_);_(* \(#,##0\);_(* &quot;-&quot;??_);_(@_)"/>
    <numFmt numFmtId="180" formatCode="0.0"/>
    <numFmt numFmtId="181" formatCode="0.000%"/>
    <numFmt numFmtId="182" formatCode="0.0000%"/>
    <numFmt numFmtId="183" formatCode="0.00000%"/>
    <numFmt numFmtId="184" formatCode="#,##0.000"/>
    <numFmt numFmtId="185" formatCode="#,##0.0000"/>
    <numFmt numFmtId="186" formatCode="#,##0.00000"/>
    <numFmt numFmtId="187" formatCode="#,##0.000000"/>
    <numFmt numFmtId="188" formatCode="0.000000"/>
    <numFmt numFmtId="189" formatCode="0.00000"/>
    <numFmt numFmtId="190" formatCode="0.0000"/>
    <numFmt numFmtId="191" formatCode="_(* #,##0.0_);_(* \(#,##0.0\);_(* &quot;-&quot;??_);_(@_)"/>
    <numFmt numFmtId="192" formatCode="_-* #,##0\ _₫_-;\-* #,##0\ _₫_-;_-* &quot;-&quot;??\ _₫_-;_-@_-"/>
    <numFmt numFmtId="193" formatCode="_-* #,##0.0\ _₫_-;\-* #,##0.0\ _₫_-;_-* &quot;-&quot;??\ _₫_-;_-@_-"/>
  </numFmts>
  <fonts count="125">
    <font>
      <sz val="10"/>
      <name val=".VnTime"/>
      <family val="0"/>
    </font>
    <font>
      <sz val="12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u val="single"/>
      <sz val="10"/>
      <color indexed="12"/>
      <name val=".VnTime"/>
      <family val="2"/>
    </font>
    <font>
      <u val="single"/>
      <sz val="10"/>
      <color indexed="36"/>
      <name val=".VnTime"/>
      <family val="2"/>
    </font>
    <font>
      <b/>
      <sz val="13"/>
      <name val=".VnTimeH"/>
      <family val="2"/>
    </font>
    <font>
      <sz val="13"/>
      <name val=".VnTim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name val="VNTime"/>
      <family val="0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8.5"/>
      <name val="Dutoan TCVN1993"/>
      <family val="2"/>
    </font>
    <font>
      <sz val="10"/>
      <name val="굴림체"/>
      <family val="3"/>
    </font>
    <font>
      <i/>
      <sz val="13"/>
      <name val=".VnTime"/>
      <family val="2"/>
    </font>
    <font>
      <b/>
      <i/>
      <sz val="13"/>
      <name val="Times New Roman"/>
      <family val="1"/>
    </font>
    <font>
      <b/>
      <sz val="13"/>
      <name val=".VnTim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.VnTimeH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 Unicode MS"/>
      <family val="2"/>
    </font>
    <font>
      <sz val="9"/>
      <name val="Times New Roman"/>
      <family val="1"/>
    </font>
    <font>
      <b/>
      <sz val="18"/>
      <color indexed="63"/>
      <name val="Arial Unicode MS"/>
      <family val="2"/>
    </font>
    <font>
      <b/>
      <sz val="9"/>
      <name val="Microsoft Sans Serif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i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14"/>
      <name val="Cambria"/>
      <family val="1"/>
    </font>
    <font>
      <i/>
      <sz val="14"/>
      <name val="Cambria"/>
      <family val="1"/>
    </font>
    <font>
      <b/>
      <sz val="8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6" fillId="0" borderId="0" applyFont="0" applyFill="0" applyBorder="0" applyAlignment="0" quotePrefix="1">
      <protection locked="0"/>
    </xf>
    <xf numFmtId="43" fontId="16" fillId="0" borderId="0" applyFont="0" applyFill="0" applyBorder="0" applyAlignment="0" quotePrefix="1">
      <protection locked="0"/>
    </xf>
    <xf numFmtId="171" fontId="0" fillId="0" borderId="0" applyFont="0" applyFill="0" applyBorder="0" applyAlignment="0" applyProtection="0"/>
    <xf numFmtId="43" fontId="16" fillId="0" borderId="0" applyFont="0" applyFill="0" applyBorder="0" applyAlignment="0" quotePrefix="1">
      <protection locked="0"/>
    </xf>
    <xf numFmtId="43" fontId="92" fillId="0" borderId="0" applyFont="0" applyFill="0" applyBorder="0" applyAlignment="0" applyProtection="0"/>
    <xf numFmtId="3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93" fillId="28" borderId="2" applyNumberFormat="0" applyAlignment="0" applyProtection="0"/>
    <xf numFmtId="0" fontId="1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173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0" fillId="0" borderId="0">
      <alignment/>
      <protection/>
    </xf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/>
      <protection/>
    </xf>
  </cellStyleXfs>
  <cellXfs count="286">
    <xf numFmtId="0" fontId="0" fillId="0" borderId="0" xfId="0" applyAlignment="1">
      <alignment/>
    </xf>
    <xf numFmtId="0" fontId="1" fillId="0" borderId="0" xfId="98" applyFill="1" applyAlignment="1">
      <alignment vertical="center"/>
      <protection/>
    </xf>
    <xf numFmtId="0" fontId="11" fillId="0" borderId="0" xfId="98" applyFont="1" applyFill="1" applyAlignment="1">
      <alignment vertical="center"/>
      <protection/>
    </xf>
    <xf numFmtId="0" fontId="2" fillId="0" borderId="0" xfId="98" applyFont="1" applyFill="1" applyAlignment="1">
      <alignment vertical="center"/>
      <protection/>
    </xf>
    <xf numFmtId="0" fontId="1" fillId="0" borderId="0" xfId="98" applyFont="1" applyFill="1" applyAlignment="1">
      <alignment vertical="center"/>
      <protection/>
    </xf>
    <xf numFmtId="0" fontId="10" fillId="0" borderId="0" xfId="98" applyFont="1" applyFill="1" applyAlignment="1">
      <alignment horizontal="center" vertical="center"/>
      <protection/>
    </xf>
    <xf numFmtId="0" fontId="10" fillId="0" borderId="0" xfId="98" applyFont="1" applyFill="1" applyAlignment="1">
      <alignment vertical="center"/>
      <protection/>
    </xf>
    <xf numFmtId="0" fontId="7" fillId="0" borderId="0" xfId="98" applyFont="1" applyFill="1" applyAlignment="1">
      <alignment vertical="center"/>
      <protection/>
    </xf>
    <xf numFmtId="3" fontId="16" fillId="0" borderId="0" xfId="92" applyNumberFormat="1">
      <alignment/>
      <protection/>
    </xf>
    <xf numFmtId="0" fontId="16" fillId="0" borderId="0" xfId="92">
      <alignment/>
      <protection/>
    </xf>
    <xf numFmtId="0" fontId="7" fillId="0" borderId="10" xfId="98" applyFont="1" applyFill="1" applyBorder="1" applyAlignment="1">
      <alignment horizontal="center" vertical="center"/>
      <protection/>
    </xf>
    <xf numFmtId="0" fontId="13" fillId="0" borderId="11" xfId="92" applyFont="1" applyBorder="1" applyAlignment="1">
      <alignment vertical="center"/>
      <protection/>
    </xf>
    <xf numFmtId="3" fontId="7" fillId="0" borderId="12" xfId="98" applyNumberFormat="1" applyFont="1" applyFill="1" applyBorder="1" applyAlignment="1">
      <alignment vertical="center"/>
      <protection/>
    </xf>
    <xf numFmtId="0" fontId="7" fillId="0" borderId="13" xfId="98" applyFont="1" applyFill="1" applyBorder="1" applyAlignment="1">
      <alignment horizontal="center" vertical="center"/>
      <protection/>
    </xf>
    <xf numFmtId="3" fontId="25" fillId="0" borderId="14" xfId="98" applyNumberFormat="1" applyFont="1" applyFill="1" applyBorder="1" applyAlignment="1">
      <alignment horizontal="right" vertical="center"/>
      <protection/>
    </xf>
    <xf numFmtId="179" fontId="0" fillId="0" borderId="0" xfId="43" applyNumberFormat="1" applyFont="1" applyFill="1" applyAlignment="1">
      <alignment vertical="center"/>
    </xf>
    <xf numFmtId="10" fontId="0" fillId="0" borderId="0" xfId="109" applyNumberFormat="1" applyFont="1" applyFill="1" applyAlignment="1">
      <alignment vertical="center"/>
    </xf>
    <xf numFmtId="179" fontId="1" fillId="0" borderId="0" xfId="98" applyNumberFormat="1" applyFill="1" applyAlignment="1">
      <alignment vertical="center"/>
      <protection/>
    </xf>
    <xf numFmtId="0" fontId="26" fillId="33" borderId="10" xfId="92" applyFont="1" applyFill="1" applyBorder="1" applyAlignment="1">
      <alignment horizontal="center" vertical="center"/>
      <protection/>
    </xf>
    <xf numFmtId="0" fontId="29" fillId="33" borderId="12" xfId="92" applyFont="1" applyFill="1" applyBorder="1" applyAlignment="1">
      <alignment vertical="center" wrapText="1"/>
      <protection/>
    </xf>
    <xf numFmtId="0" fontId="30" fillId="33" borderId="12" xfId="92" applyFont="1" applyFill="1" applyBorder="1" applyAlignment="1">
      <alignment vertical="center" wrapText="1"/>
      <protection/>
    </xf>
    <xf numFmtId="3" fontId="12" fillId="33" borderId="12" xfId="92" applyNumberFormat="1" applyFont="1" applyFill="1" applyBorder="1" applyAlignment="1">
      <alignment vertical="center"/>
      <protection/>
    </xf>
    <xf numFmtId="9" fontId="26" fillId="33" borderId="12" xfId="110" applyNumberFormat="1" applyFont="1" applyFill="1" applyBorder="1" applyAlignment="1">
      <alignment vertical="center"/>
    </xf>
    <xf numFmtId="172" fontId="26" fillId="33" borderId="12" xfId="110" applyNumberFormat="1" applyFont="1" applyFill="1" applyBorder="1" applyAlignment="1">
      <alignment vertical="center"/>
    </xf>
    <xf numFmtId="3" fontId="12" fillId="33" borderId="15" xfId="92" applyNumberFormat="1" applyFont="1" applyFill="1" applyBorder="1" applyAlignment="1">
      <alignment vertical="center"/>
      <protection/>
    </xf>
    <xf numFmtId="0" fontId="31" fillId="33" borderId="10" xfId="92" applyFont="1" applyFill="1" applyBorder="1" applyAlignment="1">
      <alignment horizontal="center" vertical="center"/>
      <protection/>
    </xf>
    <xf numFmtId="0" fontId="32" fillId="33" borderId="12" xfId="92" applyFont="1" applyFill="1" applyBorder="1" applyAlignment="1">
      <alignment vertical="center" wrapText="1"/>
      <protection/>
    </xf>
    <xf numFmtId="0" fontId="33" fillId="33" borderId="12" xfId="92" applyFont="1" applyFill="1" applyBorder="1" applyAlignment="1">
      <alignment vertical="center" wrapText="1"/>
      <protection/>
    </xf>
    <xf numFmtId="3" fontId="34" fillId="33" borderId="12" xfId="92" applyNumberFormat="1" applyFont="1" applyFill="1" applyBorder="1" applyAlignment="1">
      <alignment vertical="center"/>
      <protection/>
    </xf>
    <xf numFmtId="9" fontId="31" fillId="33" borderId="12" xfId="110" applyNumberFormat="1" applyFont="1" applyFill="1" applyBorder="1" applyAlignment="1">
      <alignment vertical="center"/>
    </xf>
    <xf numFmtId="172" fontId="31" fillId="33" borderId="12" xfId="110" applyNumberFormat="1" applyFont="1" applyFill="1" applyBorder="1" applyAlignment="1">
      <alignment vertical="center"/>
    </xf>
    <xf numFmtId="172" fontId="34" fillId="33" borderId="12" xfId="92" applyNumberFormat="1" applyFont="1" applyFill="1" applyBorder="1" applyAlignment="1">
      <alignment vertical="center"/>
      <protection/>
    </xf>
    <xf numFmtId="0" fontId="35" fillId="33" borderId="15" xfId="92" applyFont="1" applyFill="1" applyBorder="1" applyAlignment="1">
      <alignment horizontal="center" vertical="center" wrapText="1"/>
      <protection/>
    </xf>
    <xf numFmtId="1" fontId="31" fillId="33" borderId="13" xfId="92" applyNumberFormat="1" applyFont="1" applyFill="1" applyBorder="1" applyAlignment="1">
      <alignment horizontal="center" vertical="center"/>
      <protection/>
    </xf>
    <xf numFmtId="0" fontId="32" fillId="33" borderId="11" xfId="92" applyFont="1" applyFill="1" applyBorder="1" applyAlignment="1">
      <alignment vertical="center"/>
      <protection/>
    </xf>
    <xf numFmtId="3" fontId="12" fillId="33" borderId="11" xfId="92" applyNumberFormat="1" applyFont="1" applyFill="1" applyBorder="1" applyAlignment="1">
      <alignment vertical="center"/>
      <protection/>
    </xf>
    <xf numFmtId="3" fontId="32" fillId="33" borderId="15" xfId="92" applyNumberFormat="1" applyFont="1" applyFill="1" applyBorder="1" applyAlignment="1">
      <alignment vertical="center"/>
      <protection/>
    </xf>
    <xf numFmtId="0" fontId="26" fillId="33" borderId="13" xfId="92" applyFont="1" applyFill="1" applyBorder="1" applyAlignment="1">
      <alignment horizontal="center" vertical="center"/>
      <protection/>
    </xf>
    <xf numFmtId="0" fontId="29" fillId="33" borderId="11" xfId="92" applyFont="1" applyFill="1" applyBorder="1" applyAlignment="1">
      <alignment vertical="center"/>
      <protection/>
    </xf>
    <xf numFmtId="0" fontId="30" fillId="33" borderId="11" xfId="92" applyFont="1" applyFill="1" applyBorder="1" applyAlignment="1">
      <alignment vertical="center"/>
      <protection/>
    </xf>
    <xf numFmtId="10" fontId="26" fillId="33" borderId="11" xfId="110" applyNumberFormat="1" applyFont="1" applyFill="1" applyBorder="1" applyAlignment="1">
      <alignment horizontal="right" vertical="center"/>
    </xf>
    <xf numFmtId="3" fontId="12" fillId="33" borderId="11" xfId="110" applyNumberFormat="1" applyFont="1" applyFill="1" applyBorder="1" applyAlignment="1">
      <alignment horizontal="right" vertical="center"/>
    </xf>
    <xf numFmtId="10" fontId="14" fillId="33" borderId="11" xfId="110" applyNumberFormat="1" applyFont="1" applyFill="1" applyBorder="1" applyAlignment="1">
      <alignment vertical="center"/>
    </xf>
    <xf numFmtId="3" fontId="11" fillId="33" borderId="11" xfId="92" applyNumberFormat="1" applyFont="1" applyFill="1" applyBorder="1" applyAlignment="1">
      <alignment vertical="center"/>
      <protection/>
    </xf>
    <xf numFmtId="0" fontId="29" fillId="33" borderId="15" xfId="92" applyFont="1" applyFill="1" applyBorder="1" applyAlignment="1">
      <alignment vertical="center"/>
      <protection/>
    </xf>
    <xf numFmtId="0" fontId="29" fillId="33" borderId="11" xfId="92" applyFont="1" applyFill="1" applyBorder="1" applyAlignment="1">
      <alignment vertical="center" wrapText="1"/>
      <protection/>
    </xf>
    <xf numFmtId="0" fontId="30" fillId="33" borderId="11" xfId="92" applyFont="1" applyFill="1" applyBorder="1" applyAlignment="1">
      <alignment vertical="center" wrapText="1"/>
      <protection/>
    </xf>
    <xf numFmtId="10" fontId="12" fillId="33" borderId="11" xfId="110" applyNumberFormat="1" applyFont="1" applyFill="1" applyBorder="1" applyAlignment="1">
      <alignment horizontal="right" vertical="center"/>
    </xf>
    <xf numFmtId="10" fontId="26" fillId="33" borderId="11" xfId="110" applyNumberFormat="1" applyFont="1" applyFill="1" applyBorder="1" applyAlignment="1">
      <alignment vertical="center"/>
    </xf>
    <xf numFmtId="0" fontId="10" fillId="33" borderId="0" xfId="92" applyFont="1" applyFill="1" applyAlignment="1">
      <alignment vertical="center"/>
      <protection/>
    </xf>
    <xf numFmtId="3" fontId="8" fillId="33" borderId="11" xfId="92" applyNumberFormat="1" applyFont="1" applyFill="1" applyBorder="1" applyAlignment="1">
      <alignment vertical="center"/>
      <protection/>
    </xf>
    <xf numFmtId="0" fontId="9" fillId="33" borderId="13" xfId="92" applyFont="1" applyFill="1" applyBorder="1" applyAlignment="1">
      <alignment horizontal="center" vertical="center"/>
      <protection/>
    </xf>
    <xf numFmtId="0" fontId="37" fillId="33" borderId="11" xfId="92" applyFont="1" applyFill="1" applyBorder="1" applyAlignment="1">
      <alignment horizontal="center" vertical="center"/>
      <protection/>
    </xf>
    <xf numFmtId="0" fontId="15" fillId="33" borderId="0" xfId="92" applyFont="1" applyFill="1" applyAlignment="1">
      <alignment vertical="center"/>
      <protection/>
    </xf>
    <xf numFmtId="0" fontId="30" fillId="33" borderId="11" xfId="92" applyFont="1" applyFill="1" applyBorder="1" applyAlignment="1">
      <alignment horizontal="center" vertical="center"/>
      <protection/>
    </xf>
    <xf numFmtId="0" fontId="36" fillId="33" borderId="11" xfId="92" applyFont="1" applyFill="1" applyBorder="1" applyAlignment="1">
      <alignment vertical="center" wrapText="1"/>
      <protection/>
    </xf>
    <xf numFmtId="0" fontId="37" fillId="33" borderId="11" xfId="92" applyFont="1" applyFill="1" applyBorder="1" applyAlignment="1">
      <alignment horizontal="center" vertical="center" wrapText="1"/>
      <protection/>
    </xf>
    <xf numFmtId="0" fontId="37" fillId="33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3" fillId="0" borderId="0" xfId="98" applyFont="1" applyFill="1" applyAlignment="1">
      <alignment horizontal="right" vertical="center" wrapText="1"/>
      <protection/>
    </xf>
    <xf numFmtId="0" fontId="39" fillId="0" borderId="0" xfId="98" applyFont="1" applyFill="1" applyAlignment="1">
      <alignment horizontal="center" vertical="center" wrapText="1"/>
      <protection/>
    </xf>
    <xf numFmtId="3" fontId="7" fillId="33" borderId="11" xfId="98" applyNumberFormat="1" applyFont="1" applyFill="1" applyBorder="1" applyAlignment="1">
      <alignment vertical="center"/>
      <protection/>
    </xf>
    <xf numFmtId="0" fontId="13" fillId="0" borderId="16" xfId="98" applyFont="1" applyFill="1" applyBorder="1" applyAlignment="1">
      <alignment horizontal="center" vertical="center" wrapText="1"/>
      <protection/>
    </xf>
    <xf numFmtId="0" fontId="13" fillId="0" borderId="17" xfId="98" applyFont="1" applyFill="1" applyBorder="1" applyAlignment="1">
      <alignment horizontal="center" vertical="center" wrapText="1"/>
      <protection/>
    </xf>
    <xf numFmtId="0" fontId="15" fillId="0" borderId="17" xfId="9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3" fontId="106" fillId="0" borderId="0" xfId="0" applyNumberFormat="1" applyFont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42" fillId="34" borderId="11" xfId="0" applyNumberFormat="1" applyFont="1" applyFill="1" applyBorder="1" applyAlignment="1">
      <alignment/>
    </xf>
    <xf numFmtId="0" fontId="107" fillId="0" borderId="11" xfId="0" applyFont="1" applyBorder="1" applyAlignment="1">
      <alignment/>
    </xf>
    <xf numFmtId="3" fontId="107" fillId="0" borderId="11" xfId="0" applyNumberFormat="1" applyFont="1" applyBorder="1" applyAlignment="1">
      <alignment/>
    </xf>
    <xf numFmtId="0" fontId="27" fillId="35" borderId="11" xfId="0" applyFont="1" applyFill="1" applyBorder="1" applyAlignment="1">
      <alignment/>
    </xf>
    <xf numFmtId="3" fontId="42" fillId="35" borderId="11" xfId="0" applyNumberFormat="1" applyFont="1" applyFill="1" applyBorder="1" applyAlignment="1">
      <alignment/>
    </xf>
    <xf numFmtId="3" fontId="106" fillId="0" borderId="11" xfId="0" applyNumberFormat="1" applyFont="1" applyBorder="1" applyAlignment="1">
      <alignment/>
    </xf>
    <xf numFmtId="0" fontId="42" fillId="35" borderId="12" xfId="0" applyFont="1" applyFill="1" applyBorder="1" applyAlignment="1">
      <alignment/>
    </xf>
    <xf numFmtId="3" fontId="107" fillId="35" borderId="12" xfId="0" applyNumberFormat="1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42" fillId="0" borderId="19" xfId="0" applyFont="1" applyBorder="1" applyAlignment="1">
      <alignment/>
    </xf>
    <xf numFmtId="3" fontId="42" fillId="0" borderId="19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106" fillId="34" borderId="0" xfId="0" applyNumberFormat="1" applyFont="1" applyFill="1" applyAlignment="1">
      <alignment/>
    </xf>
    <xf numFmtId="0" fontId="106" fillId="34" borderId="0" xfId="0" applyFont="1" applyFill="1" applyAlignment="1">
      <alignment/>
    </xf>
    <xf numFmtId="0" fontId="106" fillId="0" borderId="11" xfId="0" applyFont="1" applyBorder="1" applyAlignment="1">
      <alignment/>
    </xf>
    <xf numFmtId="0" fontId="27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3" fontId="42" fillId="33" borderId="11" xfId="0" applyNumberFormat="1" applyFont="1" applyFill="1" applyBorder="1" applyAlignment="1">
      <alignment/>
    </xf>
    <xf numFmtId="3" fontId="42" fillId="36" borderId="11" xfId="0" applyNumberFormat="1" applyFont="1" applyFill="1" applyBorder="1" applyAlignment="1">
      <alignment/>
    </xf>
    <xf numFmtId="3" fontId="108" fillId="0" borderId="0" xfId="0" applyNumberFormat="1" applyFont="1" applyAlignment="1">
      <alignment/>
    </xf>
    <xf numFmtId="3" fontId="42" fillId="34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42" fillId="35" borderId="0" xfId="0" applyNumberFormat="1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3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3" fontId="27" fillId="0" borderId="0" xfId="0" applyNumberFormat="1" applyFont="1" applyAlignment="1">
      <alignment/>
    </xf>
    <xf numFmtId="0" fontId="25" fillId="0" borderId="0" xfId="98" applyFont="1" applyFill="1" applyBorder="1" applyAlignment="1">
      <alignment horizontal="center" vertical="center"/>
      <protection/>
    </xf>
    <xf numFmtId="3" fontId="25" fillId="0" borderId="0" xfId="98" applyNumberFormat="1" applyFont="1" applyFill="1" applyBorder="1" applyAlignment="1">
      <alignment horizontal="right" vertical="center"/>
      <protection/>
    </xf>
    <xf numFmtId="3" fontId="23" fillId="0" borderId="0" xfId="98" applyNumberFormat="1" applyFont="1" applyFill="1" applyBorder="1" applyAlignment="1">
      <alignment horizontal="right" vertical="center"/>
      <protection/>
    </xf>
    <xf numFmtId="172" fontId="14" fillId="33" borderId="12" xfId="110" applyNumberFormat="1" applyFont="1" applyFill="1" applyBorder="1" applyAlignment="1">
      <alignment vertical="center"/>
    </xf>
    <xf numFmtId="0" fontId="36" fillId="33" borderId="11" xfId="92" applyFont="1" applyFill="1" applyBorder="1" applyAlignment="1">
      <alignment vertical="center"/>
      <protection/>
    </xf>
    <xf numFmtId="10" fontId="14" fillId="33" borderId="0" xfId="110" applyNumberFormat="1" applyFont="1" applyFill="1" applyAlignment="1">
      <alignment horizontal="right" vertical="center"/>
    </xf>
    <xf numFmtId="10" fontId="13" fillId="33" borderId="0" xfId="110" applyNumberFormat="1" applyFont="1" applyFill="1" applyAlignment="1">
      <alignment horizontal="right" vertical="center"/>
    </xf>
    <xf numFmtId="0" fontId="13" fillId="33" borderId="0" xfId="92" applyFont="1" applyFill="1" applyAlignment="1">
      <alignment vertical="center"/>
      <protection/>
    </xf>
    <xf numFmtId="0" fontId="14" fillId="33" borderId="0" xfId="92" applyFont="1" applyFill="1" applyAlignment="1">
      <alignment horizontal="center" vertical="center"/>
      <protection/>
    </xf>
    <xf numFmtId="0" fontId="14" fillId="33" borderId="0" xfId="92" applyFont="1" applyFill="1" applyAlignment="1">
      <alignment vertical="center"/>
      <protection/>
    </xf>
    <xf numFmtId="0" fontId="28" fillId="33" borderId="0" xfId="92" applyFont="1" applyFill="1" applyAlignment="1">
      <alignment vertical="center"/>
      <protection/>
    </xf>
    <xf numFmtId="0" fontId="28" fillId="33" borderId="0" xfId="92" applyFont="1" applyFill="1" applyAlignment="1">
      <alignment horizontal="center" vertical="center"/>
      <protection/>
    </xf>
    <xf numFmtId="3" fontId="11" fillId="33" borderId="0" xfId="92" applyNumberFormat="1" applyFont="1" applyFill="1" applyAlignment="1">
      <alignment vertical="center"/>
      <protection/>
    </xf>
    <xf numFmtId="10" fontId="11" fillId="33" borderId="0" xfId="110" applyNumberFormat="1" applyFont="1" applyFill="1" applyAlignment="1">
      <alignment horizontal="right" vertical="center"/>
    </xf>
    <xf numFmtId="10" fontId="14" fillId="33" borderId="0" xfId="110" applyNumberFormat="1" applyFont="1" applyFill="1" applyAlignment="1">
      <alignment vertical="center"/>
    </xf>
    <xf numFmtId="10" fontId="11" fillId="33" borderId="0" xfId="110" applyNumberFormat="1" applyFont="1" applyFill="1" applyAlignment="1">
      <alignment vertical="center"/>
    </xf>
    <xf numFmtId="0" fontId="12" fillId="33" borderId="20" xfId="92" applyFont="1" applyFill="1" applyBorder="1" applyAlignment="1">
      <alignment horizontal="center" vertical="center" wrapText="1"/>
      <protection/>
    </xf>
    <xf numFmtId="3" fontId="12" fillId="33" borderId="17" xfId="92" applyNumberFormat="1" applyFont="1" applyFill="1" applyBorder="1" applyAlignment="1">
      <alignment horizontal="center" vertical="center" wrapText="1"/>
      <protection/>
    </xf>
    <xf numFmtId="10" fontId="26" fillId="33" borderId="17" xfId="110" applyNumberFormat="1" applyFont="1" applyFill="1" applyBorder="1" applyAlignment="1">
      <alignment horizontal="center" vertical="center" wrapText="1"/>
    </xf>
    <xf numFmtId="10" fontId="12" fillId="33" borderId="17" xfId="110" applyNumberFormat="1" applyFont="1" applyFill="1" applyBorder="1" applyAlignment="1">
      <alignment horizontal="center" vertical="center" wrapText="1"/>
    </xf>
    <xf numFmtId="0" fontId="24" fillId="33" borderId="0" xfId="92" applyFont="1" applyFill="1" applyAlignment="1">
      <alignment vertical="center"/>
      <protection/>
    </xf>
    <xf numFmtId="0" fontId="37" fillId="33" borderId="11" xfId="92" applyFont="1" applyFill="1" applyBorder="1" applyAlignment="1">
      <alignment vertical="center"/>
      <protection/>
    </xf>
    <xf numFmtId="10" fontId="9" fillId="33" borderId="11" xfId="110" applyNumberFormat="1" applyFont="1" applyFill="1" applyBorder="1" applyAlignment="1">
      <alignment horizontal="right" vertical="center"/>
    </xf>
    <xf numFmtId="3" fontId="8" fillId="33" borderId="11" xfId="110" applyNumberFormat="1" applyFont="1" applyFill="1" applyBorder="1" applyAlignment="1">
      <alignment horizontal="right" vertical="center"/>
    </xf>
    <xf numFmtId="10" fontId="9" fillId="33" borderId="11" xfId="110" applyNumberFormat="1" applyFont="1" applyFill="1" applyBorder="1" applyAlignment="1">
      <alignment vertical="center"/>
    </xf>
    <xf numFmtId="0" fontId="36" fillId="33" borderId="15" xfId="92" applyFont="1" applyFill="1" applyBorder="1" applyAlignment="1">
      <alignment vertical="center"/>
      <protection/>
    </xf>
    <xf numFmtId="0" fontId="26" fillId="33" borderId="0" xfId="92" applyFont="1" applyFill="1" applyAlignment="1">
      <alignment horizontal="center" vertical="center"/>
      <protection/>
    </xf>
    <xf numFmtId="0" fontId="26" fillId="33" borderId="0" xfId="92" applyFont="1" applyFill="1" applyAlignment="1">
      <alignment vertical="center"/>
      <protection/>
    </xf>
    <xf numFmtId="0" fontId="30" fillId="33" borderId="0" xfId="92" applyFont="1" applyFill="1" applyAlignment="1">
      <alignment vertical="center"/>
      <protection/>
    </xf>
    <xf numFmtId="0" fontId="30" fillId="33" borderId="0" xfId="92" applyFont="1" applyFill="1" applyAlignment="1">
      <alignment horizontal="center" vertical="center"/>
      <protection/>
    </xf>
    <xf numFmtId="3" fontId="12" fillId="33" borderId="0" xfId="92" applyNumberFormat="1" applyFont="1" applyFill="1" applyAlignment="1">
      <alignment vertical="center"/>
      <protection/>
    </xf>
    <xf numFmtId="10" fontId="26" fillId="33" borderId="0" xfId="110" applyNumberFormat="1" applyFont="1" applyFill="1" applyAlignment="1">
      <alignment vertical="center"/>
    </xf>
    <xf numFmtId="10" fontId="12" fillId="33" borderId="0" xfId="110" applyNumberFormat="1" applyFont="1" applyFill="1" applyAlignment="1">
      <alignment horizontal="right" vertical="center"/>
    </xf>
    <xf numFmtId="3" fontId="13" fillId="33" borderId="0" xfId="92" applyNumberFormat="1" applyFont="1" applyFill="1" applyAlignment="1">
      <alignment vertical="center"/>
      <protection/>
    </xf>
    <xf numFmtId="10" fontId="12" fillId="33" borderId="0" xfId="110" applyNumberFormat="1" applyFont="1" applyFill="1" applyAlignment="1">
      <alignment vertical="center"/>
    </xf>
    <xf numFmtId="0" fontId="12" fillId="33" borderId="0" xfId="92" applyFont="1" applyFill="1" applyAlignment="1">
      <alignment vertical="center"/>
      <protection/>
    </xf>
    <xf numFmtId="187" fontId="12" fillId="33" borderId="0" xfId="92" applyNumberFormat="1" applyFont="1" applyFill="1" applyAlignment="1">
      <alignment vertical="center"/>
      <protection/>
    </xf>
    <xf numFmtId="3" fontId="26" fillId="33" borderId="0" xfId="92" applyNumberFormat="1" applyFont="1" applyFill="1" applyAlignment="1">
      <alignment vertical="center"/>
      <protection/>
    </xf>
    <xf numFmtId="0" fontId="11" fillId="33" borderId="0" xfId="92" applyFont="1" applyFill="1" applyAlignment="1">
      <alignment vertical="center"/>
      <protection/>
    </xf>
    <xf numFmtId="10" fontId="13" fillId="33" borderId="0" xfId="110" applyNumberFormat="1" applyFont="1" applyFill="1" applyAlignment="1">
      <alignment vertical="center"/>
    </xf>
    <xf numFmtId="10" fontId="11" fillId="33" borderId="17" xfId="11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92" applyNumberFormat="1" applyFont="1" applyFill="1" applyBorder="1" applyAlignment="1" applyProtection="1">
      <alignment horizontal="left" vertical="top" wrapText="1"/>
      <protection/>
    </xf>
    <xf numFmtId="0" fontId="49" fillId="0" borderId="21" xfId="92" applyNumberFormat="1" applyFont="1" applyFill="1" applyBorder="1" applyAlignment="1" applyProtection="1">
      <alignment horizontal="center" vertical="center" wrapText="1"/>
      <protection/>
    </xf>
    <xf numFmtId="3" fontId="50" fillId="0" borderId="21" xfId="92" applyNumberFormat="1" applyFont="1" applyFill="1" applyBorder="1" applyAlignment="1" applyProtection="1">
      <alignment horizontal="right" vertical="center" wrapText="1"/>
      <protection/>
    </xf>
    <xf numFmtId="3" fontId="51" fillId="0" borderId="21" xfId="92" applyNumberFormat="1" applyFont="1" applyFill="1" applyBorder="1" applyAlignment="1" applyProtection="1">
      <alignment horizontal="right" vertical="center" wrapText="1"/>
      <protection/>
    </xf>
    <xf numFmtId="0" fontId="46" fillId="0" borderId="0" xfId="92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178" fontId="33" fillId="33" borderId="11" xfId="92" applyNumberFormat="1" applyFont="1" applyFill="1" applyBorder="1" applyAlignment="1">
      <alignment vertical="center"/>
      <protection/>
    </xf>
    <xf numFmtId="3" fontId="34" fillId="33" borderId="11" xfId="92" applyNumberFormat="1" applyFont="1" applyFill="1" applyBorder="1" applyAlignment="1">
      <alignment vertical="center"/>
      <protection/>
    </xf>
    <xf numFmtId="172" fontId="34" fillId="33" borderId="12" xfId="110" applyNumberFormat="1" applyFont="1" applyFill="1" applyBorder="1" applyAlignment="1">
      <alignment vertical="center"/>
    </xf>
    <xf numFmtId="3" fontId="31" fillId="33" borderId="11" xfId="110" applyNumberFormat="1" applyFont="1" applyFill="1" applyBorder="1" applyAlignment="1">
      <alignment horizontal="right" vertical="center"/>
    </xf>
    <xf numFmtId="10" fontId="31" fillId="33" borderId="12" xfId="110" applyNumberFormat="1" applyFont="1" applyFill="1" applyBorder="1" applyAlignment="1">
      <alignment vertical="center"/>
    </xf>
    <xf numFmtId="3" fontId="31" fillId="33" borderId="12" xfId="110" applyNumberFormat="1" applyFont="1" applyFill="1" applyBorder="1" applyAlignment="1">
      <alignment vertical="center"/>
    </xf>
    <xf numFmtId="3" fontId="33" fillId="33" borderId="11" xfId="92" applyNumberFormat="1" applyFont="1" applyFill="1" applyBorder="1" applyAlignment="1">
      <alignment vertical="center"/>
      <protection/>
    </xf>
    <xf numFmtId="9" fontId="34" fillId="33" borderId="12" xfId="110" applyNumberFormat="1" applyFont="1" applyFill="1" applyBorder="1" applyAlignment="1">
      <alignment vertical="center"/>
    </xf>
    <xf numFmtId="3" fontId="12" fillId="34" borderId="11" xfId="92" applyNumberFormat="1" applyFont="1" applyFill="1" applyBorder="1" applyAlignment="1">
      <alignment vertical="center"/>
      <protection/>
    </xf>
    <xf numFmtId="0" fontId="29" fillId="34" borderId="0" xfId="0" applyFont="1" applyFill="1" applyAlignment="1">
      <alignment/>
    </xf>
    <xf numFmtId="3" fontId="8" fillId="34" borderId="11" xfId="92" applyNumberFormat="1" applyFont="1" applyFill="1" applyBorder="1" applyAlignment="1">
      <alignment vertical="center"/>
      <protection/>
    </xf>
    <xf numFmtId="0" fontId="38" fillId="34" borderId="0" xfId="0" applyFont="1" applyFill="1" applyAlignment="1">
      <alignment/>
    </xf>
    <xf numFmtId="172" fontId="26" fillId="33" borderId="12" xfId="110" applyNumberFormat="1" applyFont="1" applyFill="1" applyBorder="1" applyAlignment="1">
      <alignment vertical="center"/>
    </xf>
    <xf numFmtId="0" fontId="109" fillId="33" borderId="13" xfId="92" applyFont="1" applyFill="1" applyBorder="1" applyAlignment="1">
      <alignment horizontal="center" vertical="center"/>
      <protection/>
    </xf>
    <xf numFmtId="0" fontId="110" fillId="33" borderId="11" xfId="92" applyFont="1" applyFill="1" applyBorder="1" applyAlignment="1">
      <alignment vertical="center"/>
      <protection/>
    </xf>
    <xf numFmtId="0" fontId="111" fillId="33" borderId="11" xfId="92" applyFont="1" applyFill="1" applyBorder="1" applyAlignment="1">
      <alignment vertical="center"/>
      <protection/>
    </xf>
    <xf numFmtId="0" fontId="111" fillId="33" borderId="11" xfId="0" applyFont="1" applyFill="1" applyBorder="1" applyAlignment="1">
      <alignment horizontal="center" vertical="center"/>
    </xf>
    <xf numFmtId="3" fontId="104" fillId="33" borderId="11" xfId="92" applyNumberFormat="1" applyFont="1" applyFill="1" applyBorder="1" applyAlignment="1">
      <alignment vertical="center"/>
      <protection/>
    </xf>
    <xf numFmtId="10" fontId="109" fillId="33" borderId="11" xfId="110" applyNumberFormat="1" applyFont="1" applyFill="1" applyBorder="1" applyAlignment="1">
      <alignment horizontal="right" vertical="center"/>
    </xf>
    <xf numFmtId="172" fontId="109" fillId="33" borderId="11" xfId="110" applyNumberFormat="1" applyFont="1" applyFill="1" applyBorder="1" applyAlignment="1">
      <alignment vertical="center"/>
    </xf>
    <xf numFmtId="172" fontId="104" fillId="33" borderId="12" xfId="110" applyNumberFormat="1" applyFont="1" applyFill="1" applyBorder="1" applyAlignment="1">
      <alignment vertical="center"/>
    </xf>
    <xf numFmtId="172" fontId="112" fillId="33" borderId="12" xfId="110" applyNumberFormat="1" applyFont="1" applyFill="1" applyBorder="1" applyAlignment="1">
      <alignment vertical="center"/>
    </xf>
    <xf numFmtId="172" fontId="109" fillId="33" borderId="12" xfId="110" applyNumberFormat="1" applyFont="1" applyFill="1" applyBorder="1" applyAlignment="1">
      <alignment vertical="center"/>
    </xf>
    <xf numFmtId="0" fontId="113" fillId="33" borderId="15" xfId="92" applyFont="1" applyFill="1" applyBorder="1" applyAlignment="1">
      <alignment vertical="center"/>
      <protection/>
    </xf>
    <xf numFmtId="0" fontId="113" fillId="33" borderId="0" xfId="92" applyFont="1" applyFill="1" applyAlignment="1">
      <alignment vertical="center"/>
      <protection/>
    </xf>
    <xf numFmtId="172" fontId="114" fillId="33" borderId="12" xfId="110" applyNumberFormat="1" applyFont="1" applyFill="1" applyBorder="1" applyAlignment="1">
      <alignment vertical="center"/>
    </xf>
    <xf numFmtId="0" fontId="115" fillId="33" borderId="0" xfId="92" applyFont="1" applyFill="1" applyAlignment="1">
      <alignment vertical="center"/>
      <protection/>
    </xf>
    <xf numFmtId="0" fontId="111" fillId="33" borderId="11" xfId="92" applyFont="1" applyFill="1" applyBorder="1" applyAlignment="1">
      <alignment horizontal="center" vertical="center"/>
      <protection/>
    </xf>
    <xf numFmtId="172" fontId="104" fillId="33" borderId="11" xfId="110" applyNumberFormat="1" applyFont="1" applyFill="1" applyBorder="1" applyAlignment="1">
      <alignment horizontal="right" vertical="center"/>
    </xf>
    <xf numFmtId="10" fontId="104" fillId="33" borderId="11" xfId="110" applyNumberFormat="1" applyFont="1" applyFill="1" applyBorder="1" applyAlignment="1">
      <alignment horizontal="right" vertical="center"/>
    </xf>
    <xf numFmtId="0" fontId="116" fillId="33" borderId="15" xfId="92" applyFont="1" applyFill="1" applyBorder="1" applyAlignment="1">
      <alignment horizontal="center" vertical="center"/>
      <protection/>
    </xf>
    <xf numFmtId="0" fontId="110" fillId="33" borderId="11" xfId="92" applyFont="1" applyFill="1" applyBorder="1" applyAlignment="1">
      <alignment vertical="center" wrapText="1"/>
      <protection/>
    </xf>
    <xf numFmtId="0" fontId="111" fillId="33" borderId="11" xfId="92" applyFont="1" applyFill="1" applyBorder="1" applyAlignment="1">
      <alignment vertical="center" wrapText="1"/>
      <protection/>
    </xf>
    <xf numFmtId="0" fontId="111" fillId="33" borderId="11" xfId="0" applyFont="1" applyFill="1" applyBorder="1" applyAlignment="1">
      <alignment horizontal="center" vertical="center" wrapText="1"/>
    </xf>
    <xf numFmtId="172" fontId="117" fillId="33" borderId="11" xfId="110" applyNumberFormat="1" applyFont="1" applyFill="1" applyBorder="1" applyAlignment="1">
      <alignment horizontal="right" vertical="center"/>
    </xf>
    <xf numFmtId="0" fontId="110" fillId="33" borderId="15" xfId="92" applyFont="1" applyFill="1" applyBorder="1" applyAlignment="1">
      <alignment vertical="center"/>
      <protection/>
    </xf>
    <xf numFmtId="0" fontId="110" fillId="33" borderId="11" xfId="92" applyFont="1" applyFill="1" applyBorder="1" applyAlignment="1">
      <alignment horizontal="left" vertical="center" wrapText="1"/>
      <protection/>
    </xf>
    <xf numFmtId="0" fontId="118" fillId="33" borderId="15" xfId="92" applyFont="1" applyFill="1" applyBorder="1" applyAlignment="1">
      <alignment vertical="center"/>
      <protection/>
    </xf>
    <xf numFmtId="10" fontId="109" fillId="33" borderId="11" xfId="110" applyNumberFormat="1" applyFont="1" applyFill="1" applyBorder="1" applyAlignment="1">
      <alignment vertical="center"/>
    </xf>
    <xf numFmtId="10" fontId="104" fillId="33" borderId="12" xfId="110" applyNumberFormat="1" applyFont="1" applyFill="1" applyBorder="1" applyAlignment="1">
      <alignment vertical="center"/>
    </xf>
    <xf numFmtId="10" fontId="109" fillId="33" borderId="12" xfId="110" applyNumberFormat="1" applyFont="1" applyFill="1" applyBorder="1" applyAlignment="1">
      <alignment vertical="center"/>
    </xf>
    <xf numFmtId="0" fontId="119" fillId="33" borderId="11" xfId="92" applyFont="1" applyFill="1" applyBorder="1" applyAlignment="1">
      <alignment vertical="center"/>
      <protection/>
    </xf>
    <xf numFmtId="0" fontId="120" fillId="33" borderId="11" xfId="92" applyFont="1" applyFill="1" applyBorder="1" applyAlignment="1">
      <alignment vertical="center"/>
      <protection/>
    </xf>
    <xf numFmtId="0" fontId="120" fillId="33" borderId="11" xfId="0" applyFont="1" applyFill="1" applyBorder="1" applyAlignment="1">
      <alignment horizontal="center" vertical="center"/>
    </xf>
    <xf numFmtId="10" fontId="114" fillId="33" borderId="11" xfId="110" applyNumberFormat="1" applyFont="1" applyFill="1" applyBorder="1" applyAlignment="1">
      <alignment horizontal="right" vertical="center"/>
    </xf>
    <xf numFmtId="10" fontId="88" fillId="33" borderId="11" xfId="110" applyNumberFormat="1" applyFont="1" applyFill="1" applyBorder="1" applyAlignment="1">
      <alignment horizontal="right" vertical="center"/>
    </xf>
    <xf numFmtId="10" fontId="114" fillId="33" borderId="11" xfId="110" applyNumberFormat="1" applyFont="1" applyFill="1" applyBorder="1" applyAlignment="1">
      <alignment vertical="center"/>
    </xf>
    <xf numFmtId="10" fontId="88" fillId="33" borderId="12" xfId="110" applyNumberFormat="1" applyFont="1" applyFill="1" applyBorder="1" applyAlignment="1">
      <alignment vertical="center"/>
    </xf>
    <xf numFmtId="10" fontId="114" fillId="33" borderId="12" xfId="110" applyNumberFormat="1" applyFont="1" applyFill="1" applyBorder="1" applyAlignment="1">
      <alignment vertical="center"/>
    </xf>
    <xf numFmtId="0" fontId="119" fillId="33" borderId="15" xfId="92" applyFont="1" applyFill="1" applyBorder="1" applyAlignment="1">
      <alignment vertical="center"/>
      <protection/>
    </xf>
    <xf numFmtId="0" fontId="121" fillId="33" borderId="0" xfId="92" applyFont="1" applyFill="1" applyAlignment="1">
      <alignment vertical="center"/>
      <protection/>
    </xf>
    <xf numFmtId="0" fontId="111" fillId="33" borderId="11" xfId="92" applyFont="1" applyFill="1" applyBorder="1" applyAlignment="1">
      <alignment horizontal="left" vertical="center" wrapText="1"/>
      <protection/>
    </xf>
    <xf numFmtId="172" fontId="109" fillId="33" borderId="11" xfId="110" applyNumberFormat="1" applyFont="1" applyFill="1" applyBorder="1" applyAlignment="1">
      <alignment horizontal="right" vertical="center"/>
    </xf>
    <xf numFmtId="3" fontId="12" fillId="33" borderId="11" xfId="92" applyNumberFormat="1" applyFont="1" applyFill="1" applyBorder="1" applyAlignment="1">
      <alignment vertical="center"/>
      <protection/>
    </xf>
    <xf numFmtId="3" fontId="8" fillId="33" borderId="11" xfId="92" applyNumberFormat="1" applyFont="1" applyFill="1" applyBorder="1" applyAlignment="1">
      <alignment vertical="center"/>
      <protection/>
    </xf>
    <xf numFmtId="169" fontId="12" fillId="33" borderId="11" xfId="41" applyNumberFormat="1" applyFont="1" applyFill="1" applyBorder="1" applyAlignment="1">
      <alignment vertical="center"/>
    </xf>
    <xf numFmtId="3" fontId="7" fillId="0" borderId="12" xfId="98" applyNumberFormat="1" applyFont="1" applyFill="1" applyBorder="1" applyAlignment="1">
      <alignment horizontal="right" vertical="center"/>
      <protection/>
    </xf>
    <xf numFmtId="178" fontId="33" fillId="33" borderId="11" xfId="0" applyNumberFormat="1" applyFont="1" applyFill="1" applyBorder="1" applyAlignment="1">
      <alignment horizontal="left" vertical="center"/>
    </xf>
    <xf numFmtId="3" fontId="52" fillId="33" borderId="11" xfId="0" applyNumberFormat="1" applyFont="1" applyFill="1" applyBorder="1" applyAlignment="1">
      <alignment horizontal="left"/>
    </xf>
    <xf numFmtId="0" fontId="12" fillId="33" borderId="22" xfId="92" applyFont="1" applyFill="1" applyBorder="1" applyAlignment="1">
      <alignment horizontal="center" vertical="center" wrapText="1"/>
      <protection/>
    </xf>
    <xf numFmtId="0" fontId="10" fillId="0" borderId="0" xfId="98" applyFont="1" applyFill="1" applyAlignment="1">
      <alignment horizontal="left" vertical="center"/>
      <protection/>
    </xf>
    <xf numFmtId="0" fontId="9" fillId="0" borderId="0" xfId="98" applyFont="1" applyFill="1" applyBorder="1" applyAlignment="1">
      <alignment horizontal="right" vertical="center" wrapText="1"/>
      <protection/>
    </xf>
    <xf numFmtId="0" fontId="9" fillId="33" borderId="0" xfId="98" applyFont="1" applyFill="1" applyBorder="1" applyAlignment="1">
      <alignment horizontal="right" vertical="center" wrapText="1"/>
      <protection/>
    </xf>
    <xf numFmtId="0" fontId="122" fillId="0" borderId="0" xfId="98" applyFont="1" applyFill="1" applyAlignment="1">
      <alignment horizontal="center" vertical="center"/>
      <protection/>
    </xf>
    <xf numFmtId="0" fontId="23" fillId="33" borderId="0" xfId="98" applyFont="1" applyFill="1" applyAlignment="1">
      <alignment horizontal="right" vertical="center" wrapText="1"/>
      <protection/>
    </xf>
    <xf numFmtId="0" fontId="122" fillId="33" borderId="0" xfId="98" applyFont="1" applyFill="1" applyAlignment="1">
      <alignment horizontal="center" vertical="center"/>
      <protection/>
    </xf>
    <xf numFmtId="0" fontId="15" fillId="33" borderId="17" xfId="98" applyFont="1" applyFill="1" applyBorder="1" applyAlignment="1">
      <alignment horizontal="center" vertical="center" wrapText="1"/>
      <protection/>
    </xf>
    <xf numFmtId="0" fontId="7" fillId="33" borderId="11" xfId="98" applyFont="1" applyFill="1" applyBorder="1" applyAlignment="1">
      <alignment vertical="center"/>
      <protection/>
    </xf>
    <xf numFmtId="3" fontId="25" fillId="33" borderId="14" xfId="98" applyNumberFormat="1" applyFont="1" applyFill="1" applyBorder="1" applyAlignment="1">
      <alignment horizontal="right" vertical="center"/>
      <protection/>
    </xf>
    <xf numFmtId="3" fontId="23" fillId="33" borderId="0" xfId="98" applyNumberFormat="1" applyFont="1" applyFill="1" applyBorder="1" applyAlignment="1">
      <alignment horizontal="right" vertical="center"/>
      <protection/>
    </xf>
    <xf numFmtId="0" fontId="10" fillId="33" borderId="0" xfId="98" applyFont="1" applyFill="1" applyAlignment="1">
      <alignment vertical="center"/>
      <protection/>
    </xf>
    <xf numFmtId="0" fontId="7" fillId="33" borderId="0" xfId="98" applyFont="1" applyFill="1" applyAlignment="1">
      <alignment vertical="center"/>
      <protection/>
    </xf>
    <xf numFmtId="3" fontId="7" fillId="33" borderId="12" xfId="98" applyNumberFormat="1" applyFont="1" applyFill="1" applyBorder="1" applyAlignment="1">
      <alignment vertical="center"/>
      <protection/>
    </xf>
    <xf numFmtId="0" fontId="1" fillId="33" borderId="0" xfId="98" applyFont="1" applyFill="1" applyAlignment="1">
      <alignment vertical="center"/>
      <protection/>
    </xf>
    <xf numFmtId="0" fontId="109" fillId="33" borderId="23" xfId="92" applyFont="1" applyFill="1" applyBorder="1" applyAlignment="1">
      <alignment horizontal="center" vertical="center"/>
      <protection/>
    </xf>
    <xf numFmtId="0" fontId="110" fillId="33" borderId="24" xfId="92" applyFont="1" applyFill="1" applyBorder="1" applyAlignment="1">
      <alignment vertical="center"/>
      <protection/>
    </xf>
    <xf numFmtId="0" fontId="111" fillId="33" borderId="24" xfId="92" applyFont="1" applyFill="1" applyBorder="1" applyAlignment="1">
      <alignment vertical="center"/>
      <protection/>
    </xf>
    <xf numFmtId="0" fontId="111" fillId="33" borderId="24" xfId="0" applyFont="1" applyFill="1" applyBorder="1" applyAlignment="1">
      <alignment horizontal="center" vertical="center"/>
    </xf>
    <xf numFmtId="3" fontId="104" fillId="33" borderId="24" xfId="92" applyNumberFormat="1" applyFont="1" applyFill="1" applyBorder="1" applyAlignment="1">
      <alignment vertical="center"/>
      <protection/>
    </xf>
    <xf numFmtId="3" fontId="12" fillId="33" borderId="24" xfId="92" applyNumberFormat="1" applyFont="1" applyFill="1" applyBorder="1" applyAlignment="1">
      <alignment vertical="center"/>
      <protection/>
    </xf>
    <xf numFmtId="172" fontId="109" fillId="33" borderId="24" xfId="110" applyNumberFormat="1" applyFont="1" applyFill="1" applyBorder="1" applyAlignment="1">
      <alignment vertical="center"/>
    </xf>
    <xf numFmtId="172" fontId="104" fillId="33" borderId="24" xfId="110" applyNumberFormat="1" applyFont="1" applyFill="1" applyBorder="1" applyAlignment="1">
      <alignment vertical="center"/>
    </xf>
    <xf numFmtId="0" fontId="110" fillId="33" borderId="25" xfId="92" applyFont="1" applyFill="1" applyBorder="1" applyAlignment="1">
      <alignment vertical="center"/>
      <protection/>
    </xf>
    <xf numFmtId="0" fontId="15" fillId="33" borderId="0" xfId="92" applyFont="1" applyFill="1" applyAlignment="1">
      <alignment horizontal="center" vertical="center"/>
      <protection/>
    </xf>
    <xf numFmtId="0" fontId="12" fillId="33" borderId="26" xfId="92" applyFont="1" applyFill="1" applyBorder="1" applyAlignment="1">
      <alignment horizontal="center" vertical="center" wrapText="1"/>
      <protection/>
    </xf>
    <xf numFmtId="0" fontId="12" fillId="33" borderId="15" xfId="92" applyFont="1" applyFill="1" applyBorder="1" applyAlignment="1">
      <alignment horizontal="center" vertical="center" wrapText="1"/>
      <protection/>
    </xf>
    <xf numFmtId="0" fontId="26" fillId="33" borderId="0" xfId="92" applyFont="1" applyFill="1" applyAlignment="1">
      <alignment horizontal="left" vertical="center" wrapText="1"/>
      <protection/>
    </xf>
    <xf numFmtId="3" fontId="15" fillId="33" borderId="0" xfId="92" applyNumberFormat="1" applyFont="1" applyFill="1" applyAlignment="1">
      <alignment horizontal="right" vertical="center"/>
      <protection/>
    </xf>
    <xf numFmtId="0" fontId="10" fillId="33" borderId="0" xfId="92" applyFont="1" applyFill="1" applyAlignment="1">
      <alignment horizontal="center" vertical="center"/>
      <protection/>
    </xf>
    <xf numFmtId="0" fontId="8" fillId="33" borderId="27" xfId="92" applyFont="1" applyFill="1" applyBorder="1" applyAlignment="1">
      <alignment horizontal="center" vertical="center"/>
      <protection/>
    </xf>
    <xf numFmtId="0" fontId="26" fillId="33" borderId="28" xfId="92" applyFont="1" applyFill="1" applyBorder="1" applyAlignment="1">
      <alignment horizontal="center" vertical="center" wrapText="1"/>
      <protection/>
    </xf>
    <xf numFmtId="0" fontId="26" fillId="33" borderId="16" xfId="92" applyFont="1" applyFill="1" applyBorder="1" applyAlignment="1">
      <alignment horizontal="center" vertical="center" wrapText="1"/>
      <protection/>
    </xf>
    <xf numFmtId="0" fontId="26" fillId="33" borderId="29" xfId="92" applyFont="1" applyFill="1" applyBorder="1" applyAlignment="1">
      <alignment horizontal="center" vertical="center" wrapText="1"/>
      <protection/>
    </xf>
    <xf numFmtId="0" fontId="26" fillId="33" borderId="17" xfId="92" applyFont="1" applyFill="1" applyBorder="1" applyAlignment="1">
      <alignment horizontal="center" vertical="center" wrapText="1"/>
      <protection/>
    </xf>
    <xf numFmtId="0" fontId="12" fillId="33" borderId="30" xfId="92" applyFont="1" applyFill="1" applyBorder="1" applyAlignment="1">
      <alignment horizontal="center" vertical="center" wrapText="1"/>
      <protection/>
    </xf>
    <xf numFmtId="0" fontId="12" fillId="33" borderId="22" xfId="92" applyFont="1" applyFill="1" applyBorder="1" applyAlignment="1">
      <alignment horizontal="center" vertical="center" wrapText="1"/>
      <protection/>
    </xf>
    <xf numFmtId="3" fontId="12" fillId="33" borderId="31" xfId="92" applyNumberFormat="1" applyFont="1" applyFill="1" applyBorder="1" applyAlignment="1">
      <alignment horizontal="center" vertical="center" wrapText="1"/>
      <protection/>
    </xf>
    <xf numFmtId="3" fontId="12" fillId="33" borderId="32" xfId="92" applyNumberFormat="1" applyFont="1" applyFill="1" applyBorder="1" applyAlignment="1">
      <alignment horizontal="center" vertical="center" wrapText="1"/>
      <protection/>
    </xf>
    <xf numFmtId="3" fontId="12" fillId="33" borderId="33" xfId="92" applyNumberFormat="1" applyFont="1" applyFill="1" applyBorder="1" applyAlignment="1">
      <alignment horizontal="center" vertical="center" wrapText="1"/>
      <protection/>
    </xf>
    <xf numFmtId="10" fontId="29" fillId="33" borderId="31" xfId="110" applyNumberFormat="1" applyFont="1" applyFill="1" applyBorder="1" applyAlignment="1">
      <alignment horizontal="center" vertical="center" wrapText="1"/>
    </xf>
    <xf numFmtId="10" fontId="29" fillId="33" borderId="33" xfId="110" applyNumberFormat="1" applyFont="1" applyFill="1" applyBorder="1" applyAlignment="1">
      <alignment horizontal="center" vertical="center" wrapText="1"/>
    </xf>
    <xf numFmtId="0" fontId="12" fillId="33" borderId="0" xfId="92" applyFont="1" applyFill="1" applyAlignment="1">
      <alignment horizontal="center" vertical="center"/>
      <protection/>
    </xf>
    <xf numFmtId="0" fontId="123" fillId="0" borderId="0" xfId="98" applyFont="1" applyFill="1" applyAlignment="1">
      <alignment horizontal="center" vertical="center"/>
      <protection/>
    </xf>
    <xf numFmtId="0" fontId="8" fillId="0" borderId="0" xfId="98" applyFont="1" applyFill="1" applyAlignment="1">
      <alignment horizontal="right" vertical="center"/>
      <protection/>
    </xf>
    <xf numFmtId="0" fontId="10" fillId="0" borderId="0" xfId="98" applyFont="1" applyFill="1" applyAlignment="1">
      <alignment horizontal="left" vertical="center"/>
      <protection/>
    </xf>
    <xf numFmtId="0" fontId="39" fillId="0" borderId="0" xfId="98" applyFont="1" applyFill="1" applyAlignment="1">
      <alignment horizontal="center" vertical="center" wrapText="1"/>
      <protection/>
    </xf>
    <xf numFmtId="0" fontId="23" fillId="0" borderId="0" xfId="98" applyFont="1" applyFill="1" applyAlignment="1">
      <alignment horizontal="right" vertical="center" wrapText="1"/>
      <protection/>
    </xf>
    <xf numFmtId="0" fontId="6" fillId="0" borderId="0" xfId="98" applyFont="1" applyFill="1" applyAlignment="1">
      <alignment horizontal="center" vertical="center"/>
      <protection/>
    </xf>
    <xf numFmtId="0" fontId="9" fillId="0" borderId="0" xfId="98" applyFont="1" applyFill="1" applyBorder="1" applyAlignment="1">
      <alignment horizontal="right" vertical="center" wrapText="1"/>
      <protection/>
    </xf>
    <xf numFmtId="0" fontId="25" fillId="0" borderId="34" xfId="98" applyFont="1" applyFill="1" applyBorder="1" applyAlignment="1">
      <alignment horizontal="center" vertical="center"/>
      <protection/>
    </xf>
    <xf numFmtId="0" fontId="25" fillId="0" borderId="14" xfId="98" applyFont="1" applyFill="1" applyBorder="1" applyAlignment="1">
      <alignment horizontal="center" vertical="center"/>
      <protection/>
    </xf>
    <xf numFmtId="0" fontId="51" fillId="0" borderId="0" xfId="92" applyNumberFormat="1" applyFont="1" applyFill="1" applyBorder="1" applyAlignment="1" applyProtection="1">
      <alignment horizontal="right" vertical="center" wrapText="1"/>
      <protection/>
    </xf>
    <xf numFmtId="0" fontId="50" fillId="0" borderId="22" xfId="92" applyNumberFormat="1" applyFont="1" applyFill="1" applyBorder="1" applyAlignment="1" applyProtection="1">
      <alignment horizontal="left" vertical="center" wrapText="1"/>
      <protection/>
    </xf>
    <xf numFmtId="3" fontId="50" fillId="0" borderId="21" xfId="92" applyNumberFormat="1" applyFont="1" applyFill="1" applyBorder="1" applyAlignment="1" applyProtection="1">
      <alignment horizontal="right" vertical="center" wrapText="1"/>
      <protection/>
    </xf>
    <xf numFmtId="0" fontId="51" fillId="0" borderId="0" xfId="92" applyNumberFormat="1" applyFont="1" applyFill="1" applyBorder="1" applyAlignment="1" applyProtection="1">
      <alignment horizontal="center" vertical="center" wrapText="1"/>
      <protection/>
    </xf>
    <xf numFmtId="49" fontId="50" fillId="0" borderId="22" xfId="92" applyNumberFormat="1" applyFont="1" applyFill="1" applyBorder="1" applyAlignment="1" applyProtection="1">
      <alignment horizontal="left" vertical="center" wrapText="1"/>
      <protection/>
    </xf>
    <xf numFmtId="49" fontId="50" fillId="0" borderId="21" xfId="92" applyNumberFormat="1" applyFont="1" applyFill="1" applyBorder="1" applyAlignment="1" applyProtection="1">
      <alignment horizontal="left" vertical="center" wrapText="1"/>
      <protection/>
    </xf>
    <xf numFmtId="49" fontId="51" fillId="0" borderId="22" xfId="92" applyNumberFormat="1" applyFont="1" applyFill="1" applyBorder="1" applyAlignment="1" applyProtection="1">
      <alignment horizontal="left" vertical="center" wrapText="1"/>
      <protection/>
    </xf>
    <xf numFmtId="49" fontId="51" fillId="0" borderId="21" xfId="92" applyNumberFormat="1" applyFont="1" applyFill="1" applyBorder="1" applyAlignment="1" applyProtection="1">
      <alignment horizontal="left" vertical="center" wrapText="1"/>
      <protection/>
    </xf>
    <xf numFmtId="3" fontId="51" fillId="0" borderId="21" xfId="92" applyNumberFormat="1" applyFont="1" applyFill="1" applyBorder="1" applyAlignment="1" applyProtection="1">
      <alignment horizontal="right" vertical="center" wrapText="1"/>
      <protection/>
    </xf>
    <xf numFmtId="49" fontId="51" fillId="34" borderId="21" xfId="92" applyNumberFormat="1" applyFont="1" applyFill="1" applyBorder="1" applyAlignment="1" applyProtection="1">
      <alignment horizontal="left" vertical="center" wrapText="1"/>
      <protection/>
    </xf>
    <xf numFmtId="3" fontId="51" fillId="34" borderId="21" xfId="92" applyNumberFormat="1" applyFont="1" applyFill="1" applyBorder="1" applyAlignment="1" applyProtection="1">
      <alignment horizontal="right" vertical="center" wrapText="1"/>
      <protection/>
    </xf>
    <xf numFmtId="0" fontId="45" fillId="0" borderId="0" xfId="92" applyNumberFormat="1" applyFont="1" applyFill="1" applyBorder="1" applyAlignment="1" applyProtection="1">
      <alignment horizontal="right" vertical="center" wrapText="1"/>
      <protection/>
    </xf>
    <xf numFmtId="0" fontId="48" fillId="0" borderId="35" xfId="92" applyNumberFormat="1" applyFont="1" applyFill="1" applyBorder="1" applyAlignment="1" applyProtection="1">
      <alignment horizontal="center" vertical="center" wrapText="1"/>
      <protection/>
    </xf>
    <xf numFmtId="0" fontId="48" fillId="0" borderId="36" xfId="92" applyNumberFormat="1" applyFont="1" applyFill="1" applyBorder="1" applyAlignment="1" applyProtection="1">
      <alignment horizontal="center" vertical="center" wrapText="1"/>
      <protection/>
    </xf>
    <xf numFmtId="0" fontId="48" fillId="0" borderId="18" xfId="92" applyNumberFormat="1" applyFont="1" applyFill="1" applyBorder="1" applyAlignment="1" applyProtection="1">
      <alignment horizontal="center" vertical="center" wrapText="1"/>
      <protection/>
    </xf>
    <xf numFmtId="0" fontId="49" fillId="0" borderId="22" xfId="92" applyNumberFormat="1" applyFont="1" applyFill="1" applyBorder="1" applyAlignment="1" applyProtection="1">
      <alignment horizontal="center" vertical="center" wrapText="1"/>
      <protection/>
    </xf>
    <xf numFmtId="0" fontId="49" fillId="0" borderId="21" xfId="92" applyNumberFormat="1" applyFont="1" applyFill="1" applyBorder="1" applyAlignment="1" applyProtection="1">
      <alignment horizontal="center" vertical="center" wrapText="1"/>
      <protection/>
    </xf>
    <xf numFmtId="0" fontId="45" fillId="0" borderId="0" xfId="92" applyNumberFormat="1" applyFont="1" applyFill="1" applyBorder="1" applyAlignment="1" applyProtection="1">
      <alignment horizontal="left" vertical="center" wrapText="1"/>
      <protection/>
    </xf>
    <xf numFmtId="0" fontId="40" fillId="0" borderId="0" xfId="92" applyNumberFormat="1" applyFont="1" applyFill="1" applyBorder="1" applyAlignment="1" applyProtection="1">
      <alignment horizontal="left" vertical="top" wrapText="1"/>
      <protection/>
    </xf>
    <xf numFmtId="0" fontId="46" fillId="0" borderId="0" xfId="92" applyNumberFormat="1" applyFont="1" applyFill="1" applyBorder="1" applyAlignment="1" applyProtection="1">
      <alignment horizontal="left" vertical="center" wrapText="1"/>
      <protection/>
    </xf>
    <xf numFmtId="0" fontId="47" fillId="0" borderId="0" xfId="92" applyNumberFormat="1" applyFont="1" applyFill="1" applyBorder="1" applyAlignment="1" applyProtection="1">
      <alignment horizontal="center" vertical="center" wrapText="1"/>
      <protection/>
    </xf>
    <xf numFmtId="0" fontId="45" fillId="0" borderId="0" xfId="92" applyNumberFormat="1" applyFont="1" applyFill="1" applyBorder="1" applyAlignment="1" applyProtection="1">
      <alignment horizontal="center" vertical="center" wrapText="1"/>
      <protection/>
    </xf>
    <xf numFmtId="0" fontId="46" fillId="0" borderId="0" xfId="92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6" xfId="47"/>
    <cellStyle name="Comma 7" xfId="48"/>
    <cellStyle name="Comma0" xfId="49"/>
    <cellStyle name="Currency" xfId="50"/>
    <cellStyle name="Currency [0]" xfId="51"/>
    <cellStyle name="Currency0" xfId="52"/>
    <cellStyle name="Check Cell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- Style1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2" xfId="79"/>
    <cellStyle name="Normal 2 3" xfId="80"/>
    <cellStyle name="Normal 2 4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te" xfId="106"/>
    <cellStyle name="Output" xfId="107"/>
    <cellStyle name="Percent" xfId="108"/>
    <cellStyle name="Percent 2" xfId="109"/>
    <cellStyle name="Percent 3" xfId="110"/>
    <cellStyle name="Percent 4" xfId="111"/>
    <cellStyle name="Title" xfId="112"/>
    <cellStyle name="Total" xfId="113"/>
    <cellStyle name="Warning Text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HOBONG" xfId="119"/>
    <cellStyle name="뷭?_BOOKSHIP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\AppData\Local\Temp\Rar$DIa0.806\KHKD%20Dich%20vu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\AppData\Local\Temp\Rar$DIa0.806\ll&#173;u%20t&#202;t%20c&#182;\cuong1\hsdt\My%20Documents\B-CAOQ~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&#184;n%202001-2005\Tu&#202;n%20quy&#213;t%20to&#184;n%20c&#184;c%20c&#171;ng%20tr&#215;nh%20XDCB\TG%20Vin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nt\AppData\Local\Temp\Rar$DIa0.945\bang%20ke%20632%2012_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nt\AppData\Local\Temp\Rar$DIa0.945\bang%20ke%20642%201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 Tong 2014"/>
      <sheetName val="Dich vu 2014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Sheet2"/>
      <sheetName val="Sheet3"/>
      <sheetName val="Sheet4"/>
      <sheetName val="Sheet5"/>
      <sheetName val="XL4Test5"/>
      <sheetName val="TONG HOP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Bang ve"/>
      <sheetName val="Bang tong ke"/>
      <sheetName val="Liet ke vat tu"/>
      <sheetName val="Solieu"/>
      <sheetName val="TMC"/>
      <sheetName val="TMDT"/>
      <sheetName val="GiaQuyen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hang02"/>
      <sheetName val="Thang03"/>
      <sheetName val="thang04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7">
          <cell r="I17">
            <v>193170510</v>
          </cell>
        </row>
        <row r="19">
          <cell r="I19">
            <v>963073693</v>
          </cell>
        </row>
        <row r="20">
          <cell r="I20">
            <v>65854980</v>
          </cell>
        </row>
        <row r="21">
          <cell r="I21">
            <v>10975830</v>
          </cell>
        </row>
        <row r="22">
          <cell r="I22">
            <v>7317220</v>
          </cell>
        </row>
        <row r="23">
          <cell r="I23">
            <v>3658610</v>
          </cell>
        </row>
        <row r="25">
          <cell r="I25">
            <v>35639099</v>
          </cell>
        </row>
        <row r="27">
          <cell r="I27">
            <v>504731905</v>
          </cell>
        </row>
        <row r="28">
          <cell r="I28">
            <v>58902720</v>
          </cell>
        </row>
        <row r="29">
          <cell r="I29">
            <v>97317085</v>
          </cell>
        </row>
        <row r="31">
          <cell r="I31">
            <v>244885050</v>
          </cell>
        </row>
        <row r="33">
          <cell r="I33">
            <v>52820603</v>
          </cell>
        </row>
        <row r="34">
          <cell r="I34">
            <v>79598859</v>
          </cell>
        </row>
        <row r="35">
          <cell r="I35">
            <v>37009449</v>
          </cell>
        </row>
        <row r="37">
          <cell r="I37">
            <v>70378553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">
          <cell r="I15">
            <v>15525820</v>
          </cell>
        </row>
        <row r="17">
          <cell r="I17">
            <v>96158359</v>
          </cell>
        </row>
        <row r="18">
          <cell r="I18">
            <v>17280000</v>
          </cell>
        </row>
        <row r="19">
          <cell r="I19">
            <v>14343030</v>
          </cell>
        </row>
        <row r="20">
          <cell r="I20">
            <v>2390505</v>
          </cell>
        </row>
        <row r="21">
          <cell r="I21">
            <v>1593670</v>
          </cell>
        </row>
        <row r="22">
          <cell r="I22">
            <v>796835</v>
          </cell>
        </row>
        <row r="23">
          <cell r="I23">
            <v>125000000</v>
          </cell>
        </row>
        <row r="25">
          <cell r="I25">
            <v>42533625</v>
          </cell>
        </row>
        <row r="26">
          <cell r="I26">
            <v>53994798</v>
          </cell>
        </row>
        <row r="30">
          <cell r="I30">
            <v>128955364</v>
          </cell>
        </row>
        <row r="31">
          <cell r="I31">
            <v>5937879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zoomScalePageLayoutView="0" workbookViewId="0" topLeftCell="A4">
      <selection activeCell="H23" sqref="H23"/>
    </sheetView>
  </sheetViews>
  <sheetFormatPr defaultColWidth="9.00390625" defaultRowHeight="12.75" outlineLevelCol="1"/>
  <cols>
    <col min="1" max="1" width="6.25390625" style="112" customWidth="1"/>
    <col min="2" max="2" width="20.25390625" style="113" customWidth="1"/>
    <col min="3" max="3" width="26.375" style="114" hidden="1" customWidth="1" outlineLevel="1"/>
    <col min="4" max="4" width="11.375" style="115" customWidth="1" collapsed="1"/>
    <col min="5" max="5" width="13.375" style="137" customWidth="1"/>
    <col min="6" max="6" width="12.875" style="109" customWidth="1"/>
    <col min="7" max="7" width="14.75390625" style="110" hidden="1" customWidth="1"/>
    <col min="8" max="8" width="14.125" style="137" customWidth="1"/>
    <col min="9" max="9" width="10.625" style="118" customWidth="1"/>
    <col min="10" max="10" width="12.625" style="143" hidden="1" customWidth="1"/>
    <col min="11" max="11" width="8.625" style="118" customWidth="1"/>
    <col min="12" max="12" width="7.375" style="143" customWidth="1"/>
    <col min="13" max="13" width="6.875" style="111" customWidth="1"/>
    <col min="14" max="14" width="19.125" style="111" bestFit="1" customWidth="1"/>
    <col min="15" max="15" width="15.875" style="111" bestFit="1" customWidth="1"/>
    <col min="16" max="16384" width="9.125" style="111" customWidth="1"/>
  </cols>
  <sheetData>
    <row r="1" spans="1:13" ht="29.25" customHeight="1">
      <c r="A1" s="238" t="s">
        <v>30</v>
      </c>
      <c r="B1" s="238"/>
      <c r="C1" s="238"/>
      <c r="D1" s="238"/>
      <c r="E1" s="238"/>
      <c r="F1" s="238"/>
      <c r="H1" s="239" t="s">
        <v>251</v>
      </c>
      <c r="I1" s="239"/>
      <c r="J1" s="239"/>
      <c r="K1" s="239"/>
      <c r="L1" s="239"/>
      <c r="M1" s="239"/>
    </row>
    <row r="2" spans="1:13" ht="21" customHeight="1">
      <c r="A2" s="240" t="s">
        <v>246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8.75" customHeight="1">
      <c r="A3" s="235" t="s">
        <v>256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5:13" ht="30" customHeight="1" thickBot="1">
      <c r="E4" s="116"/>
      <c r="G4" s="117"/>
      <c r="H4" s="116"/>
      <c r="J4" s="119"/>
      <c r="K4" s="241" t="s">
        <v>31</v>
      </c>
      <c r="L4" s="241"/>
      <c r="M4" s="241"/>
    </row>
    <row r="5" spans="1:13" ht="24.75" customHeight="1">
      <c r="A5" s="242" t="s">
        <v>0</v>
      </c>
      <c r="B5" s="244" t="s">
        <v>32</v>
      </c>
      <c r="C5" s="246" t="s">
        <v>33</v>
      </c>
      <c r="D5" s="120"/>
      <c r="E5" s="248" t="s">
        <v>34</v>
      </c>
      <c r="F5" s="249"/>
      <c r="G5" s="249"/>
      <c r="H5" s="249"/>
      <c r="I5" s="249"/>
      <c r="J5" s="250"/>
      <c r="K5" s="251" t="s">
        <v>247</v>
      </c>
      <c r="L5" s="252"/>
      <c r="M5" s="236" t="s">
        <v>35</v>
      </c>
    </row>
    <row r="6" spans="1:13" ht="34.5" customHeight="1">
      <c r="A6" s="243"/>
      <c r="B6" s="245"/>
      <c r="C6" s="247"/>
      <c r="D6" s="211" t="s">
        <v>107</v>
      </c>
      <c r="E6" s="121" t="s">
        <v>245</v>
      </c>
      <c r="F6" s="122" t="s">
        <v>36</v>
      </c>
      <c r="G6" s="123" t="s">
        <v>37</v>
      </c>
      <c r="H6" s="121" t="s">
        <v>248</v>
      </c>
      <c r="I6" s="122" t="s">
        <v>36</v>
      </c>
      <c r="J6" s="123" t="s">
        <v>38</v>
      </c>
      <c r="K6" s="122" t="s">
        <v>39</v>
      </c>
      <c r="L6" s="144" t="s">
        <v>40</v>
      </c>
      <c r="M6" s="237"/>
    </row>
    <row r="7" spans="1:13" s="49" customFormat="1" ht="27" customHeight="1">
      <c r="A7" s="18" t="s">
        <v>1</v>
      </c>
      <c r="B7" s="19" t="s">
        <v>41</v>
      </c>
      <c r="C7" s="20"/>
      <c r="D7" s="60"/>
      <c r="E7" s="21">
        <f>E8+E9+E10</f>
        <v>74990797</v>
      </c>
      <c r="F7" s="22">
        <v>1</v>
      </c>
      <c r="G7" s="21"/>
      <c r="H7" s="21">
        <f>H8+H9+H10</f>
        <v>66991909.44858001</v>
      </c>
      <c r="I7" s="22">
        <v>1</v>
      </c>
      <c r="J7" s="21"/>
      <c r="K7" s="23"/>
      <c r="L7" s="23">
        <f>-(H7-E7)/E7</f>
        <v>0.10666492251602537</v>
      </c>
      <c r="M7" s="24"/>
    </row>
    <row r="8" spans="1:13" s="124" customFormat="1" ht="27" customHeight="1">
      <c r="A8" s="25">
        <v>1</v>
      </c>
      <c r="B8" s="26" t="s">
        <v>42</v>
      </c>
      <c r="C8" s="27"/>
      <c r="D8" s="61"/>
      <c r="E8" s="28">
        <v>57957979</v>
      </c>
      <c r="F8" s="29">
        <f>E8/E7</f>
        <v>0.7728678893758123</v>
      </c>
      <c r="G8" s="28"/>
      <c r="H8" s="28">
        <v>48997431.2</v>
      </c>
      <c r="I8" s="30">
        <f>H8/H7</f>
        <v>0.7313932623104024</v>
      </c>
      <c r="J8" s="31"/>
      <c r="K8" s="23"/>
      <c r="L8" s="23">
        <f>-(H8-E8)/E8</f>
        <v>0.15460421420146478</v>
      </c>
      <c r="M8" s="32"/>
    </row>
    <row r="9" spans="1:13" s="124" customFormat="1" ht="27" customHeight="1">
      <c r="A9" s="33">
        <v>2</v>
      </c>
      <c r="B9" s="34" t="s">
        <v>43</v>
      </c>
      <c r="C9" s="152" t="s">
        <v>44</v>
      </c>
      <c r="D9" s="209" t="s">
        <v>44</v>
      </c>
      <c r="E9" s="153">
        <v>2907033</v>
      </c>
      <c r="F9" s="154">
        <f>E9/E7</f>
        <v>0.03876519674807563</v>
      </c>
      <c r="G9" s="155"/>
      <c r="H9" s="153">
        <v>4652487.2009000005</v>
      </c>
      <c r="I9" s="156">
        <f>H9/H7</f>
        <v>0.06944849369416826</v>
      </c>
      <c r="J9" s="157"/>
      <c r="K9" s="164">
        <f>(H9-E9)/E9</f>
        <v>0.6004246256922438</v>
      </c>
      <c r="L9" s="30"/>
      <c r="M9" s="36"/>
    </row>
    <row r="10" spans="1:13" s="124" customFormat="1" ht="27" customHeight="1">
      <c r="A10" s="33">
        <v>3</v>
      </c>
      <c r="B10" s="34" t="s">
        <v>244</v>
      </c>
      <c r="C10" s="158" t="s">
        <v>45</v>
      </c>
      <c r="D10" s="210" t="s">
        <v>111</v>
      </c>
      <c r="E10" s="153">
        <v>14125785</v>
      </c>
      <c r="F10" s="159">
        <f>E10/E7</f>
        <v>0.188366913876112</v>
      </c>
      <c r="G10" s="155"/>
      <c r="H10" s="153">
        <v>13341991.047680002</v>
      </c>
      <c r="I10" s="30">
        <f>H10/H7</f>
        <v>0.19915824399542928</v>
      </c>
      <c r="J10" s="157"/>
      <c r="K10" s="30"/>
      <c r="L10" s="107">
        <f>-(H10-E10)/E10</f>
        <v>0.055486753643779675</v>
      </c>
      <c r="M10" s="36"/>
    </row>
    <row r="11" spans="1:13" s="49" customFormat="1" ht="27" customHeight="1">
      <c r="A11" s="37" t="s">
        <v>3</v>
      </c>
      <c r="B11" s="38" t="s">
        <v>167</v>
      </c>
      <c r="C11" s="39"/>
      <c r="D11" s="58"/>
      <c r="E11" s="205">
        <f>E12</f>
        <v>6817345.181818182</v>
      </c>
      <c r="F11" s="40"/>
      <c r="G11" s="41"/>
      <c r="H11" s="205">
        <f>H12</f>
        <v>6090173.586234546</v>
      </c>
      <c r="I11" s="42"/>
      <c r="J11" s="43"/>
      <c r="K11" s="30"/>
      <c r="L11" s="107">
        <f>-(H11-E11)/E11</f>
        <v>0.1066649225160254</v>
      </c>
      <c r="M11" s="44"/>
    </row>
    <row r="12" spans="1:13" s="53" customFormat="1" ht="27" customHeight="1">
      <c r="A12" s="51">
        <v>1</v>
      </c>
      <c r="B12" s="108" t="s">
        <v>46</v>
      </c>
      <c r="C12" s="125"/>
      <c r="D12" s="57"/>
      <c r="E12" s="206">
        <f>(E8+E9+E10)/11</f>
        <v>6817345.181818182</v>
      </c>
      <c r="F12" s="126"/>
      <c r="G12" s="127"/>
      <c r="H12" s="206">
        <f>(H8+H9+H10)/11</f>
        <v>6090173.586234546</v>
      </c>
      <c r="I12" s="128"/>
      <c r="J12" s="206"/>
      <c r="K12" s="30"/>
      <c r="L12" s="107">
        <f>-(H12-E12)/E12</f>
        <v>0.1066649225160254</v>
      </c>
      <c r="M12" s="129"/>
    </row>
    <row r="13" spans="1:13" s="49" customFormat="1" ht="27" customHeight="1">
      <c r="A13" s="37" t="s">
        <v>4</v>
      </c>
      <c r="B13" s="45" t="s">
        <v>47</v>
      </c>
      <c r="C13" s="46"/>
      <c r="D13" s="62"/>
      <c r="E13" s="205">
        <f>E7-E11</f>
        <v>68173451.81818181</v>
      </c>
      <c r="F13" s="40"/>
      <c r="G13" s="47"/>
      <c r="H13" s="205">
        <f>H7-H11</f>
        <v>60901735.862345465</v>
      </c>
      <c r="I13" s="48"/>
      <c r="J13" s="205"/>
      <c r="K13" s="30"/>
      <c r="L13" s="107">
        <f>-(H13-E13)/E13</f>
        <v>0.10666492251602532</v>
      </c>
      <c r="M13" s="44"/>
    </row>
    <row r="14" spans="1:13" s="176" customFormat="1" ht="27" customHeight="1">
      <c r="A14" s="165" t="s">
        <v>5</v>
      </c>
      <c r="B14" s="166" t="s">
        <v>48</v>
      </c>
      <c r="C14" s="167"/>
      <c r="D14" s="168"/>
      <c r="E14" s="169">
        <v>23257260</v>
      </c>
      <c r="F14" s="170">
        <f>E14/E13</f>
        <v>0.3411483411757846</v>
      </c>
      <c r="G14" s="169" t="e">
        <f>SUM(#REF!)</f>
        <v>#REF!</v>
      </c>
      <c r="H14" s="205">
        <v>27726988.505882043</v>
      </c>
      <c r="I14" s="171">
        <f>H14/H13</f>
        <v>0.4552741906823904</v>
      </c>
      <c r="J14" s="172"/>
      <c r="K14" s="173">
        <f>(H14-E14)/E14</f>
        <v>0.1921863756040928</v>
      </c>
      <c r="L14" s="174"/>
      <c r="M14" s="175"/>
    </row>
    <row r="15" spans="1:13" s="178" customFormat="1" ht="27" customHeight="1">
      <c r="A15" s="165" t="s">
        <v>6</v>
      </c>
      <c r="B15" s="166" t="s">
        <v>67</v>
      </c>
      <c r="C15" s="179" t="s">
        <v>68</v>
      </c>
      <c r="D15" s="168" t="s">
        <v>68</v>
      </c>
      <c r="E15" s="205">
        <v>174862.273</v>
      </c>
      <c r="F15" s="180"/>
      <c r="G15" s="181"/>
      <c r="H15" s="205">
        <v>250000</v>
      </c>
      <c r="I15" s="171">
        <f>H15/H13</f>
        <v>0.0041049733059344675</v>
      </c>
      <c r="J15" s="172"/>
      <c r="K15" s="177">
        <f>(H15-E15)/E15</f>
        <v>0.42969661614772686</v>
      </c>
      <c r="L15" s="164"/>
      <c r="M15" s="182"/>
    </row>
    <row r="16" spans="1:13" s="176" customFormat="1" ht="27" customHeight="1">
      <c r="A16" s="165" t="s">
        <v>7</v>
      </c>
      <c r="B16" s="166" t="s">
        <v>166</v>
      </c>
      <c r="C16" s="179" t="s">
        <v>69</v>
      </c>
      <c r="D16" s="168" t="s">
        <v>69</v>
      </c>
      <c r="E16" s="169">
        <v>9500213</v>
      </c>
      <c r="F16" s="180">
        <f>E16/E13</f>
        <v>0.13935355694379406</v>
      </c>
      <c r="G16" s="169" t="e">
        <f>SUM(#REF!)</f>
        <v>#REF!</v>
      </c>
      <c r="H16" s="205">
        <v>8677886.980669215</v>
      </c>
      <c r="I16" s="171">
        <f>H16/H13</f>
        <v>0.14248997763025353</v>
      </c>
      <c r="J16" s="172"/>
      <c r="K16" s="174"/>
      <c r="L16" s="164">
        <f>-(H16-E16)/E16</f>
        <v>0.0865586928767581</v>
      </c>
      <c r="M16" s="175"/>
    </row>
    <row r="17" spans="1:13" s="176" customFormat="1" ht="27" customHeight="1">
      <c r="A17" s="165" t="s">
        <v>85</v>
      </c>
      <c r="B17" s="183" t="s">
        <v>86</v>
      </c>
      <c r="C17" s="184"/>
      <c r="D17" s="185"/>
      <c r="E17" s="169">
        <f>E13-E14-E15-E16</f>
        <v>35241116.54518181</v>
      </c>
      <c r="F17" s="186">
        <f>E17/E13</f>
        <v>0.5169331404718901</v>
      </c>
      <c r="G17" s="169" t="e">
        <f>G13-G14-G15-G16</f>
        <v>#REF!</v>
      </c>
      <c r="H17" s="205">
        <f>H13-H14-H15-H16</f>
        <v>24246860.375794206</v>
      </c>
      <c r="I17" s="171">
        <f>H17/H13</f>
        <v>0.3981308583814216</v>
      </c>
      <c r="J17" s="172"/>
      <c r="K17" s="174"/>
      <c r="L17" s="174">
        <f>-(H17-E17)/E17</f>
        <v>0.311972413112738</v>
      </c>
      <c r="M17" s="187"/>
    </row>
    <row r="18" spans="1:13" s="176" customFormat="1" ht="27" customHeight="1">
      <c r="A18" s="165" t="s">
        <v>87</v>
      </c>
      <c r="B18" s="188" t="s">
        <v>88</v>
      </c>
      <c r="C18" s="167"/>
      <c r="D18" s="168"/>
      <c r="E18" s="206">
        <v>1243383.294</v>
      </c>
      <c r="F18" s="170"/>
      <c r="G18" s="181"/>
      <c r="H18" s="205">
        <f>839100/2</f>
        <v>419550</v>
      </c>
      <c r="I18" s="171"/>
      <c r="J18" s="172"/>
      <c r="K18" s="174"/>
      <c r="L18" s="174">
        <f>-(H18-E18)/E18</f>
        <v>0.6625738804562062</v>
      </c>
      <c r="M18" s="189"/>
    </row>
    <row r="19" spans="1:13" s="176" customFormat="1" ht="27" customHeight="1">
      <c r="A19" s="165" t="s">
        <v>89</v>
      </c>
      <c r="B19" s="166" t="s">
        <v>90</v>
      </c>
      <c r="C19" s="167"/>
      <c r="D19" s="168"/>
      <c r="E19" s="206">
        <v>267405.961</v>
      </c>
      <c r="F19" s="170"/>
      <c r="G19" s="181"/>
      <c r="H19" s="205">
        <v>1145410.480189225</v>
      </c>
      <c r="I19" s="171"/>
      <c r="J19" s="172"/>
      <c r="K19" s="174"/>
      <c r="L19" s="177"/>
      <c r="M19" s="187"/>
    </row>
    <row r="20" spans="1:13" s="176" customFormat="1" ht="27" customHeight="1">
      <c r="A20" s="165" t="s">
        <v>91</v>
      </c>
      <c r="B20" s="183" t="s">
        <v>92</v>
      </c>
      <c r="C20" s="184"/>
      <c r="D20" s="185"/>
      <c r="E20" s="169">
        <f>E17+E18-E19</f>
        <v>36217093.87818181</v>
      </c>
      <c r="F20" s="169">
        <f>F17+F18-F19</f>
        <v>0.5169331404718901</v>
      </c>
      <c r="G20" s="169" t="e">
        <f>G17+G18-G19</f>
        <v>#REF!</v>
      </c>
      <c r="H20" s="205">
        <f>H17+H18-H19</f>
        <v>23520999.89560498</v>
      </c>
      <c r="I20" s="171"/>
      <c r="J20" s="172"/>
      <c r="K20" s="174"/>
      <c r="L20" s="174">
        <f>-(H20-E20)/E20</f>
        <v>0.35055529373176214</v>
      </c>
      <c r="M20" s="187"/>
    </row>
    <row r="21" spans="1:13" s="176" customFormat="1" ht="22.5" customHeight="1">
      <c r="A21" s="165" t="s">
        <v>93</v>
      </c>
      <c r="B21" s="166" t="s">
        <v>94</v>
      </c>
      <c r="C21" s="167"/>
      <c r="D21" s="168"/>
      <c r="E21" s="206">
        <v>272727.273</v>
      </c>
      <c r="F21" s="170"/>
      <c r="G21" s="181"/>
      <c r="H21" s="205">
        <v>2400000</v>
      </c>
      <c r="I21" s="190"/>
      <c r="J21" s="191"/>
      <c r="K21" s="192"/>
      <c r="L21" s="177"/>
      <c r="M21" s="187"/>
    </row>
    <row r="22" spans="1:13" s="202" customFormat="1" ht="24" customHeight="1">
      <c r="A22" s="165" t="s">
        <v>95</v>
      </c>
      <c r="B22" s="193" t="s">
        <v>96</v>
      </c>
      <c r="C22" s="194"/>
      <c r="D22" s="195"/>
      <c r="E22" s="206">
        <v>453.864</v>
      </c>
      <c r="F22" s="196"/>
      <c r="G22" s="197"/>
      <c r="H22" s="43">
        <v>2370000</v>
      </c>
      <c r="I22" s="198"/>
      <c r="J22" s="199"/>
      <c r="K22" s="200"/>
      <c r="L22" s="177"/>
      <c r="M22" s="201"/>
    </row>
    <row r="23" spans="1:13" s="176" customFormat="1" ht="27" customHeight="1">
      <c r="A23" s="165" t="s">
        <v>97</v>
      </c>
      <c r="B23" s="188" t="s">
        <v>249</v>
      </c>
      <c r="C23" s="167"/>
      <c r="D23" s="168"/>
      <c r="E23" s="169">
        <f>E21-E22</f>
        <v>272273.409</v>
      </c>
      <c r="F23" s="169">
        <f>F21-F22</f>
        <v>0</v>
      </c>
      <c r="G23" s="169">
        <f>G21-G22</f>
        <v>0</v>
      </c>
      <c r="H23" s="205">
        <f>H21-H22</f>
        <v>30000</v>
      </c>
      <c r="I23" s="190"/>
      <c r="J23" s="191"/>
      <c r="K23" s="192"/>
      <c r="L23" s="177"/>
      <c r="M23" s="187"/>
    </row>
    <row r="24" spans="1:13" s="176" customFormat="1" ht="27" customHeight="1">
      <c r="A24" s="165" t="s">
        <v>98</v>
      </c>
      <c r="B24" s="183" t="s">
        <v>99</v>
      </c>
      <c r="C24" s="184"/>
      <c r="D24" s="185"/>
      <c r="E24" s="169">
        <f>E20+E23</f>
        <v>36489367.28718181</v>
      </c>
      <c r="F24" s="169">
        <f>F20+F23</f>
        <v>0.5169331404718901</v>
      </c>
      <c r="G24" s="169" t="e">
        <f>G20+G23</f>
        <v>#REF!</v>
      </c>
      <c r="H24" s="205">
        <f>H20+H23</f>
        <v>23550999.89560498</v>
      </c>
      <c r="I24" s="171"/>
      <c r="J24" s="172"/>
      <c r="K24" s="174"/>
      <c r="L24" s="174">
        <f>-(H24-E24)/E24</f>
        <v>0.35457911039531487</v>
      </c>
      <c r="M24" s="187"/>
    </row>
    <row r="25" spans="1:13" s="202" customFormat="1" ht="24.75" customHeight="1">
      <c r="A25" s="165" t="s">
        <v>100</v>
      </c>
      <c r="B25" s="188" t="s">
        <v>101</v>
      </c>
      <c r="C25" s="203"/>
      <c r="D25" s="185"/>
      <c r="E25" s="169">
        <v>7338827</v>
      </c>
      <c r="F25" s="204"/>
      <c r="G25" s="181"/>
      <c r="H25" s="207">
        <v>4960791</v>
      </c>
      <c r="I25" s="171"/>
      <c r="J25" s="172"/>
      <c r="K25" s="174"/>
      <c r="L25" s="174">
        <f>-(H25-E25)/E25</f>
        <v>0.32403489004441716</v>
      </c>
      <c r="M25" s="187"/>
    </row>
    <row r="26" spans="1:16" s="176" customFormat="1" ht="27" customHeight="1" thickBot="1">
      <c r="A26" s="226" t="s">
        <v>102</v>
      </c>
      <c r="B26" s="227" t="s">
        <v>103</v>
      </c>
      <c r="C26" s="228"/>
      <c r="D26" s="229"/>
      <c r="E26" s="230">
        <f>E24-E25</f>
        <v>29150540.28718181</v>
      </c>
      <c r="F26" s="230">
        <f>F24-F25</f>
        <v>0.5169331404718901</v>
      </c>
      <c r="G26" s="230" t="e">
        <f>G24-G25</f>
        <v>#REF!</v>
      </c>
      <c r="H26" s="231">
        <f>H24-H25</f>
        <v>18590208.89560498</v>
      </c>
      <c r="I26" s="232"/>
      <c r="J26" s="233"/>
      <c r="K26" s="232"/>
      <c r="L26" s="232">
        <f>-(H26-E26)/E26</f>
        <v>0.36226880488456886</v>
      </c>
      <c r="M26" s="234"/>
      <c r="N26" s="202"/>
      <c r="O26" s="202"/>
      <c r="P26" s="202"/>
    </row>
    <row r="27" spans="1:13" ht="18" customHeight="1">
      <c r="A27" s="253" t="s">
        <v>104</v>
      </c>
      <c r="B27" s="253"/>
      <c r="C27" s="253"/>
      <c r="D27" s="253"/>
      <c r="E27" s="253"/>
      <c r="F27" s="253" t="s">
        <v>231</v>
      </c>
      <c r="G27" s="253"/>
      <c r="H27" s="253"/>
      <c r="I27" s="253"/>
      <c r="J27" s="253" t="s">
        <v>105</v>
      </c>
      <c r="K27" s="253"/>
      <c r="L27" s="253"/>
      <c r="M27" s="253"/>
    </row>
    <row r="28" spans="1:13" ht="15.75" customHeight="1">
      <c r="A28" s="130"/>
      <c r="B28" s="131"/>
      <c r="C28" s="132"/>
      <c r="D28" s="133"/>
      <c r="E28" s="134"/>
      <c r="F28" s="135"/>
      <c r="G28" s="136"/>
      <c r="I28" s="135"/>
      <c r="J28" s="138"/>
      <c r="K28" s="135"/>
      <c r="L28" s="119"/>
      <c r="M28" s="139"/>
    </row>
    <row r="29" spans="1:13" ht="15.75" customHeight="1">
      <c r="A29" s="130"/>
      <c r="B29" s="131"/>
      <c r="C29" s="132"/>
      <c r="D29" s="133"/>
      <c r="E29" s="140"/>
      <c r="F29" s="135"/>
      <c r="G29" s="136"/>
      <c r="I29" s="135"/>
      <c r="J29" s="138"/>
      <c r="K29" s="135"/>
      <c r="L29" s="119"/>
      <c r="M29" s="139"/>
    </row>
    <row r="30" spans="1:13" ht="15.75" customHeight="1">
      <c r="A30" s="130"/>
      <c r="B30" s="131"/>
      <c r="C30" s="132"/>
      <c r="D30" s="133"/>
      <c r="E30" s="134"/>
      <c r="F30" s="141"/>
      <c r="G30" s="136"/>
      <c r="I30" s="135"/>
      <c r="J30" s="138"/>
      <c r="K30" s="135"/>
      <c r="L30" s="119"/>
      <c r="M30" s="139"/>
    </row>
    <row r="31" spans="1:13" ht="15.75" customHeight="1">
      <c r="A31" s="130"/>
      <c r="B31" s="131"/>
      <c r="C31" s="132"/>
      <c r="D31" s="133"/>
      <c r="E31" s="134"/>
      <c r="F31" s="141"/>
      <c r="G31" s="136"/>
      <c r="I31" s="135"/>
      <c r="J31" s="138"/>
      <c r="K31" s="135"/>
      <c r="L31" s="119"/>
      <c r="M31" s="139"/>
    </row>
    <row r="32" spans="1:13" ht="15.75" customHeight="1">
      <c r="A32" s="130"/>
      <c r="B32" s="131"/>
      <c r="C32" s="132"/>
      <c r="D32" s="133"/>
      <c r="E32" s="134"/>
      <c r="F32" s="141"/>
      <c r="G32" s="136"/>
      <c r="I32" s="135"/>
      <c r="J32" s="138"/>
      <c r="K32" s="135"/>
      <c r="L32" s="119"/>
      <c r="M32" s="139"/>
    </row>
    <row r="33" spans="1:13" ht="18" customHeight="1">
      <c r="A33" s="253" t="s">
        <v>10</v>
      </c>
      <c r="B33" s="253"/>
      <c r="C33" s="253"/>
      <c r="D33" s="253"/>
      <c r="E33" s="253"/>
      <c r="F33" s="253" t="s">
        <v>11</v>
      </c>
      <c r="G33" s="253"/>
      <c r="H33" s="253"/>
      <c r="I33" s="253"/>
      <c r="J33" s="253" t="s">
        <v>106</v>
      </c>
      <c r="K33" s="253"/>
      <c r="L33" s="253"/>
      <c r="M33" s="253"/>
    </row>
    <row r="34" ht="16.5"/>
    <row r="35" spans="5:13" ht="16.5" customHeight="1">
      <c r="E35" s="116"/>
      <c r="G35" s="117"/>
      <c r="H35" s="116"/>
      <c r="J35" s="119"/>
      <c r="L35" s="119"/>
      <c r="M35" s="142"/>
    </row>
    <row r="36" spans="5:13" ht="16.5" customHeight="1">
      <c r="E36" s="116"/>
      <c r="G36" s="117"/>
      <c r="H36" s="116"/>
      <c r="J36" s="119"/>
      <c r="L36" s="119"/>
      <c r="M36" s="142"/>
    </row>
    <row r="37" spans="5:13" ht="16.5" customHeight="1">
      <c r="E37" s="116"/>
      <c r="G37" s="117"/>
      <c r="H37" s="116"/>
      <c r="J37" s="119"/>
      <c r="L37" s="119"/>
      <c r="M37" s="142"/>
    </row>
    <row r="38" spans="5:13" ht="16.5" customHeight="1">
      <c r="E38" s="116"/>
      <c r="G38" s="117"/>
      <c r="H38" s="116"/>
      <c r="J38" s="119"/>
      <c r="L38" s="119"/>
      <c r="M38" s="142"/>
    </row>
    <row r="39" spans="5:13" ht="16.5" customHeight="1">
      <c r="E39" s="116"/>
      <c r="G39" s="117"/>
      <c r="H39" s="116"/>
      <c r="J39" s="119"/>
      <c r="L39" s="119"/>
      <c r="M39" s="142"/>
    </row>
    <row r="40" spans="5:13" ht="16.5" customHeight="1">
      <c r="E40" s="116"/>
      <c r="G40" s="117"/>
      <c r="H40" s="116"/>
      <c r="J40" s="119"/>
      <c r="L40" s="119"/>
      <c r="M40" s="142"/>
    </row>
    <row r="41" spans="5:13" ht="16.5" customHeight="1">
      <c r="E41" s="116"/>
      <c r="G41" s="117"/>
      <c r="H41" s="116"/>
      <c r="J41" s="119"/>
      <c r="L41" s="119"/>
      <c r="M41" s="142"/>
    </row>
    <row r="42" spans="5:13" ht="16.5" customHeight="1">
      <c r="E42" s="116"/>
      <c r="G42" s="117"/>
      <c r="H42" s="116"/>
      <c r="J42" s="119"/>
      <c r="L42" s="119"/>
      <c r="M42" s="142"/>
    </row>
    <row r="43" spans="5:13" ht="16.5" customHeight="1">
      <c r="E43" s="116"/>
      <c r="G43" s="117"/>
      <c r="H43" s="116"/>
      <c r="J43" s="119"/>
      <c r="L43" s="119"/>
      <c r="M43" s="142"/>
    </row>
    <row r="44" spans="5:13" ht="16.5" customHeight="1">
      <c r="E44" s="116"/>
      <c r="G44" s="117"/>
      <c r="H44" s="116"/>
      <c r="J44" s="119"/>
      <c r="L44" s="119"/>
      <c r="M44" s="142"/>
    </row>
    <row r="45" spans="5:13" ht="16.5" customHeight="1">
      <c r="E45" s="116"/>
      <c r="G45" s="117"/>
      <c r="H45" s="116"/>
      <c r="J45" s="119"/>
      <c r="L45" s="119"/>
      <c r="M45" s="142"/>
    </row>
    <row r="46" spans="5:13" ht="16.5" customHeight="1">
      <c r="E46" s="116"/>
      <c r="G46" s="117"/>
      <c r="H46" s="116"/>
      <c r="J46" s="119"/>
      <c r="L46" s="119"/>
      <c r="M46" s="142"/>
    </row>
    <row r="47" spans="5:13" ht="16.5" customHeight="1">
      <c r="E47" s="116"/>
      <c r="G47" s="117"/>
      <c r="H47" s="116"/>
      <c r="J47" s="119"/>
      <c r="L47" s="119"/>
      <c r="M47" s="142"/>
    </row>
    <row r="48" spans="5:13" ht="16.5" customHeight="1">
      <c r="E48" s="116"/>
      <c r="G48" s="117"/>
      <c r="H48" s="116"/>
      <c r="J48" s="119"/>
      <c r="L48" s="119"/>
      <c r="M48" s="142"/>
    </row>
    <row r="49" spans="5:13" ht="16.5" customHeight="1">
      <c r="E49" s="116"/>
      <c r="G49" s="117"/>
      <c r="H49" s="116"/>
      <c r="J49" s="119"/>
      <c r="L49" s="119"/>
      <c r="M49" s="142"/>
    </row>
    <row r="50" spans="5:13" ht="16.5" customHeight="1">
      <c r="E50" s="116"/>
      <c r="G50" s="117"/>
      <c r="H50" s="116"/>
      <c r="J50" s="119"/>
      <c r="L50" s="119"/>
      <c r="M50" s="142"/>
    </row>
    <row r="51" spans="5:13" ht="16.5" customHeight="1">
      <c r="E51" s="116"/>
      <c r="G51" s="117"/>
      <c r="H51" s="116"/>
      <c r="J51" s="119"/>
      <c r="L51" s="119"/>
      <c r="M51" s="142"/>
    </row>
    <row r="52" spans="5:13" ht="16.5" customHeight="1">
      <c r="E52" s="116"/>
      <c r="G52" s="117"/>
      <c r="H52" s="116"/>
      <c r="J52" s="119"/>
      <c r="L52" s="119"/>
      <c r="M52" s="142"/>
    </row>
    <row r="53" spans="5:13" ht="16.5" customHeight="1">
      <c r="E53" s="116"/>
      <c r="G53" s="117"/>
      <c r="H53" s="116"/>
      <c r="J53" s="119"/>
      <c r="L53" s="119"/>
      <c r="M53" s="142"/>
    </row>
    <row r="54" spans="5:13" ht="16.5" customHeight="1">
      <c r="E54" s="116"/>
      <c r="G54" s="117"/>
      <c r="H54" s="116"/>
      <c r="J54" s="119"/>
      <c r="L54" s="119"/>
      <c r="M54" s="142"/>
    </row>
    <row r="55" spans="5:13" ht="16.5" customHeight="1">
      <c r="E55" s="116"/>
      <c r="G55" s="117"/>
      <c r="H55" s="116"/>
      <c r="J55" s="119"/>
      <c r="L55" s="119"/>
      <c r="M55" s="142"/>
    </row>
  </sheetData>
  <sheetProtection/>
  <mergeCells count="17">
    <mergeCell ref="K5:L5"/>
    <mergeCell ref="A33:E33"/>
    <mergeCell ref="F33:I33"/>
    <mergeCell ref="J33:M33"/>
    <mergeCell ref="A27:E27"/>
    <mergeCell ref="F27:I27"/>
    <mergeCell ref="J27:M27"/>
    <mergeCell ref="A3:M3"/>
    <mergeCell ref="M5:M6"/>
    <mergeCell ref="A1:F1"/>
    <mergeCell ref="H1:M1"/>
    <mergeCell ref="A2:M2"/>
    <mergeCell ref="K4:M4"/>
    <mergeCell ref="A5:A6"/>
    <mergeCell ref="B5:B6"/>
    <mergeCell ref="C5:C6"/>
    <mergeCell ref="E5:J5"/>
  </mergeCells>
  <printOptions horizontalCentered="1"/>
  <pageMargins left="0.1968503937007874" right="0.1968503937007874" top="0.6299212598425197" bottom="0.5511811023622047" header="0.4330708661417323" footer="0.11811023622047245"/>
  <pageSetup horizontalDpi="600" verticalDpi="600" orientation="portrait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H13" sqref="H13"/>
    </sheetView>
  </sheetViews>
  <sheetFormatPr defaultColWidth="9.00390625" defaultRowHeight="12.75"/>
  <cols>
    <col min="1" max="1" width="7.75390625" style="1" customWidth="1"/>
    <col min="2" max="2" width="23.625" style="1" customWidth="1"/>
    <col min="3" max="3" width="20.00390625" style="1" customWidth="1"/>
    <col min="4" max="4" width="20.00390625" style="225" customWidth="1"/>
    <col min="5" max="5" width="20.00390625" style="1" customWidth="1"/>
    <col min="6" max="6" width="14.125" style="1" customWidth="1"/>
    <col min="7" max="16384" width="9.125" style="1" customWidth="1"/>
  </cols>
  <sheetData>
    <row r="1" spans="1:5" ht="30.75" customHeight="1">
      <c r="A1" s="257" t="s">
        <v>113</v>
      </c>
      <c r="B1" s="257"/>
      <c r="C1" s="257"/>
      <c r="D1" s="258" t="s">
        <v>250</v>
      </c>
      <c r="E1" s="258"/>
    </row>
    <row r="2" spans="1:5" ht="7.5" customHeight="1">
      <c r="A2" s="64"/>
      <c r="B2" s="64"/>
      <c r="C2" s="64"/>
      <c r="D2" s="216"/>
      <c r="E2" s="63"/>
    </row>
    <row r="3" spans="1:5" ht="28.5" customHeight="1">
      <c r="A3" s="259" t="s">
        <v>254</v>
      </c>
      <c r="B3" s="259"/>
      <c r="C3" s="259"/>
      <c r="D3" s="259"/>
      <c r="E3" s="259"/>
    </row>
    <row r="4" spans="1:5" ht="28.5" customHeight="1">
      <c r="A4" s="254" t="s">
        <v>255</v>
      </c>
      <c r="B4" s="254"/>
      <c r="C4" s="254"/>
      <c r="D4" s="254"/>
      <c r="E4" s="254"/>
    </row>
    <row r="5" spans="1:5" ht="17.25" customHeight="1">
      <c r="A5" s="215"/>
      <c r="B5" s="215"/>
      <c r="C5" s="215"/>
      <c r="D5" s="217"/>
      <c r="E5" s="215"/>
    </row>
    <row r="6" spans="1:5" ht="24.75" customHeight="1">
      <c r="A6" s="260" t="s">
        <v>23</v>
      </c>
      <c r="B6" s="260"/>
      <c r="C6" s="260"/>
      <c r="D6" s="260"/>
      <c r="E6" s="260"/>
    </row>
    <row r="7" spans="1:5" ht="15.75" customHeight="1">
      <c r="A7" s="213"/>
      <c r="B7" s="213"/>
      <c r="C7" s="213"/>
      <c r="D7" s="214"/>
      <c r="E7" s="213"/>
    </row>
    <row r="8" spans="1:5" s="4" customFormat="1" ht="44.25" customHeight="1">
      <c r="A8" s="66" t="s">
        <v>0</v>
      </c>
      <c r="B8" s="67" t="s">
        <v>24</v>
      </c>
      <c r="C8" s="68" t="s">
        <v>25</v>
      </c>
      <c r="D8" s="218" t="s">
        <v>244</v>
      </c>
      <c r="E8" s="68" t="s">
        <v>8</v>
      </c>
    </row>
    <row r="9" spans="1:6" ht="25.5" customHeight="1">
      <c r="A9" s="10">
        <v>1</v>
      </c>
      <c r="B9" s="11" t="s">
        <v>2</v>
      </c>
      <c r="C9" s="12">
        <v>19143999.2</v>
      </c>
      <c r="D9" s="224">
        <v>7300951.04768</v>
      </c>
      <c r="E9" s="208">
        <f>C9+D9</f>
        <v>26444950.24768</v>
      </c>
      <c r="F9" s="4"/>
    </row>
    <row r="10" spans="1:6" ht="25.5" customHeight="1">
      <c r="A10" s="13">
        <v>2</v>
      </c>
      <c r="B10" s="11" t="s">
        <v>12</v>
      </c>
      <c r="C10" s="12">
        <v>8407200</v>
      </c>
      <c r="D10" s="65">
        <v>4726320</v>
      </c>
      <c r="E10" s="208">
        <f aca="true" t="shared" si="0" ref="E10:E23">C10+D10</f>
        <v>13133520</v>
      </c>
      <c r="F10" s="4"/>
    </row>
    <row r="11" spans="1:5" ht="25.5" customHeight="1">
      <c r="A11" s="10">
        <v>3</v>
      </c>
      <c r="B11" s="11" t="s">
        <v>26</v>
      </c>
      <c r="C11" s="12">
        <v>4747200</v>
      </c>
      <c r="D11" s="65">
        <v>345600</v>
      </c>
      <c r="E11" s="208">
        <f t="shared" si="0"/>
        <v>5092800</v>
      </c>
    </row>
    <row r="12" spans="1:5" ht="25.5" customHeight="1">
      <c r="A12" s="13">
        <v>4</v>
      </c>
      <c r="B12" s="11" t="s">
        <v>13</v>
      </c>
      <c r="C12" s="12">
        <v>4725600</v>
      </c>
      <c r="D12" s="65">
        <v>216000</v>
      </c>
      <c r="E12" s="208">
        <f t="shared" si="0"/>
        <v>4941600</v>
      </c>
    </row>
    <row r="13" spans="1:5" ht="25.5" customHeight="1">
      <c r="A13" s="10">
        <v>5</v>
      </c>
      <c r="B13" s="11" t="s">
        <v>14</v>
      </c>
      <c r="C13" s="12">
        <v>1673280</v>
      </c>
      <c r="D13" s="65">
        <v>60000</v>
      </c>
      <c r="E13" s="208">
        <f t="shared" si="0"/>
        <v>1733280</v>
      </c>
    </row>
    <row r="14" spans="1:5" ht="25.5" customHeight="1">
      <c r="A14" s="13">
        <v>6</v>
      </c>
      <c r="B14" s="11" t="s">
        <v>17</v>
      </c>
      <c r="C14" s="12">
        <v>974640</v>
      </c>
      <c r="D14" s="219">
        <v>0</v>
      </c>
      <c r="E14" s="208">
        <f t="shared" si="0"/>
        <v>974640</v>
      </c>
    </row>
    <row r="15" spans="1:5" ht="25.5" customHeight="1">
      <c r="A15" s="10">
        <v>7</v>
      </c>
      <c r="B15" s="11" t="s">
        <v>16</v>
      </c>
      <c r="C15" s="12">
        <v>3043920</v>
      </c>
      <c r="D15" s="219">
        <v>0</v>
      </c>
      <c r="E15" s="208">
        <f t="shared" si="0"/>
        <v>3043920</v>
      </c>
    </row>
    <row r="16" spans="1:5" ht="25.5" customHeight="1">
      <c r="A16" s="13">
        <v>8</v>
      </c>
      <c r="B16" s="11" t="s">
        <v>19</v>
      </c>
      <c r="C16" s="12">
        <v>1389960</v>
      </c>
      <c r="D16" s="65">
        <v>42000</v>
      </c>
      <c r="E16" s="208">
        <f t="shared" si="0"/>
        <v>1431960</v>
      </c>
    </row>
    <row r="17" spans="1:6" ht="25.5" customHeight="1">
      <c r="A17" s="10">
        <v>9</v>
      </c>
      <c r="B17" s="11" t="s">
        <v>18</v>
      </c>
      <c r="C17" s="12">
        <v>2706672</v>
      </c>
      <c r="D17" s="65">
        <v>12000</v>
      </c>
      <c r="E17" s="208">
        <f t="shared" si="0"/>
        <v>2718672</v>
      </c>
      <c r="F17" s="2"/>
    </row>
    <row r="18" spans="1:5" ht="25.5" customHeight="1">
      <c r="A18" s="13">
        <v>10</v>
      </c>
      <c r="B18" s="11" t="s">
        <v>15</v>
      </c>
      <c r="C18" s="12">
        <v>1415880</v>
      </c>
      <c r="D18" s="65">
        <v>270000</v>
      </c>
      <c r="E18" s="208">
        <f t="shared" si="0"/>
        <v>1685880</v>
      </c>
    </row>
    <row r="19" spans="1:5" ht="25.5" customHeight="1">
      <c r="A19" s="10">
        <v>11</v>
      </c>
      <c r="B19" s="11" t="s">
        <v>20</v>
      </c>
      <c r="C19" s="12">
        <v>661200</v>
      </c>
      <c r="D19" s="65">
        <v>108000</v>
      </c>
      <c r="E19" s="208">
        <f t="shared" si="0"/>
        <v>769200</v>
      </c>
    </row>
    <row r="20" spans="1:5" ht="25.5" customHeight="1">
      <c r="A20" s="13">
        <v>12</v>
      </c>
      <c r="B20" s="11" t="s">
        <v>22</v>
      </c>
      <c r="C20" s="12">
        <v>0</v>
      </c>
      <c r="D20" s="65">
        <v>45120</v>
      </c>
      <c r="E20" s="208">
        <f t="shared" si="0"/>
        <v>45120</v>
      </c>
    </row>
    <row r="21" spans="1:8" ht="25.5" customHeight="1">
      <c r="A21" s="10">
        <v>13</v>
      </c>
      <c r="B21" s="11" t="s">
        <v>21</v>
      </c>
      <c r="C21" s="12">
        <v>107880</v>
      </c>
      <c r="D21" s="65">
        <v>216000</v>
      </c>
      <c r="E21" s="208">
        <f t="shared" si="0"/>
        <v>323880</v>
      </c>
      <c r="G21" s="3"/>
      <c r="H21" s="4"/>
    </row>
    <row r="22" spans="1:5" ht="25.5" customHeight="1">
      <c r="A22" s="13">
        <v>14</v>
      </c>
      <c r="B22" s="11" t="s">
        <v>28</v>
      </c>
      <c r="C22" s="12">
        <v>0</v>
      </c>
      <c r="D22" s="65">
        <v>0</v>
      </c>
      <c r="E22" s="208">
        <f t="shared" si="0"/>
        <v>0</v>
      </c>
    </row>
    <row r="23" spans="1:5" ht="25.5" customHeight="1">
      <c r="A23" s="10">
        <v>15</v>
      </c>
      <c r="B23" s="11" t="s">
        <v>27</v>
      </c>
      <c r="C23" s="12"/>
      <c r="D23" s="65">
        <v>4652487.2009000005</v>
      </c>
      <c r="E23" s="208">
        <f t="shared" si="0"/>
        <v>4652487.2009000005</v>
      </c>
    </row>
    <row r="24" spans="1:6" s="4" customFormat="1" ht="25.5" customHeight="1" thickBot="1">
      <c r="A24" s="261" t="s">
        <v>29</v>
      </c>
      <c r="B24" s="262"/>
      <c r="C24" s="14">
        <f>SUM(C9:C23)</f>
        <v>48997431.2</v>
      </c>
      <c r="D24" s="220">
        <f>SUM(D9:D23)</f>
        <v>17994478.24858</v>
      </c>
      <c r="E24" s="14">
        <f>C24+D24</f>
        <v>66991909.448580004</v>
      </c>
      <c r="F24" s="1"/>
    </row>
    <row r="25" spans="1:6" s="4" customFormat="1" ht="26.25" customHeight="1">
      <c r="A25" s="104"/>
      <c r="B25" s="104"/>
      <c r="C25" s="105"/>
      <c r="D25" s="221"/>
      <c r="E25" s="106"/>
      <c r="F25" s="1"/>
    </row>
    <row r="26" spans="1:6" s="4" customFormat="1" ht="18" customHeight="1">
      <c r="A26" s="2"/>
      <c r="B26" s="2"/>
      <c r="C26" s="2"/>
      <c r="D26" s="255"/>
      <c r="E26" s="255"/>
      <c r="F26" s="1"/>
    </row>
    <row r="27" spans="1:5" ht="15.75" customHeight="1">
      <c r="A27" s="256" t="s">
        <v>9</v>
      </c>
      <c r="B27" s="256"/>
      <c r="C27" s="6" t="s">
        <v>252</v>
      </c>
      <c r="D27" s="222"/>
      <c r="E27" s="5"/>
    </row>
    <row r="28" spans="1:5" ht="15.75" customHeight="1">
      <c r="A28" s="212"/>
      <c r="B28" s="212"/>
      <c r="C28" s="6"/>
      <c r="D28" s="222"/>
      <c r="E28" s="5"/>
    </row>
    <row r="29" spans="1:5" ht="16.5">
      <c r="A29" s="6"/>
      <c r="B29" s="6"/>
      <c r="C29" s="6"/>
      <c r="D29" s="222"/>
      <c r="E29" s="6"/>
    </row>
    <row r="30" spans="1:5" ht="16.5">
      <c r="A30" s="6"/>
      <c r="B30" s="6"/>
      <c r="C30" s="6"/>
      <c r="D30" s="222"/>
      <c r="E30" s="6"/>
    </row>
    <row r="31" spans="1:5" ht="16.5">
      <c r="A31" s="6"/>
      <c r="B31" s="6"/>
      <c r="C31" s="6"/>
      <c r="D31" s="222"/>
      <c r="E31" s="6"/>
    </row>
    <row r="32" spans="1:5" ht="16.5">
      <c r="A32" s="6"/>
      <c r="B32" s="6"/>
      <c r="C32" s="6"/>
      <c r="D32" s="222"/>
      <c r="E32" s="6"/>
    </row>
    <row r="33" spans="1:5" ht="16.5">
      <c r="A33" s="7"/>
      <c r="B33" s="7"/>
      <c r="C33" s="7"/>
      <c r="D33" s="223"/>
      <c r="E33" s="7"/>
    </row>
    <row r="34" spans="1:6" s="2" customFormat="1" ht="16.5">
      <c r="A34" s="256" t="s">
        <v>10</v>
      </c>
      <c r="B34" s="256"/>
      <c r="C34" s="6" t="s">
        <v>253</v>
      </c>
      <c r="D34" s="222"/>
      <c r="E34" s="5"/>
      <c r="F34" s="1"/>
    </row>
    <row r="36" ht="15">
      <c r="E36" s="15"/>
    </row>
    <row r="37" ht="15">
      <c r="E37" s="16"/>
    </row>
    <row r="38" ht="15">
      <c r="E38" s="16"/>
    </row>
    <row r="39" ht="15">
      <c r="E39" s="17"/>
    </row>
    <row r="42" ht="15">
      <c r="E42" s="17"/>
    </row>
    <row r="43" ht="15">
      <c r="E43" s="16"/>
    </row>
    <row r="45" ht="15">
      <c r="E45" s="17"/>
    </row>
  </sheetData>
  <sheetProtection/>
  <mergeCells count="9">
    <mergeCell ref="A4:E4"/>
    <mergeCell ref="D26:E26"/>
    <mergeCell ref="A27:B27"/>
    <mergeCell ref="A34:B34"/>
    <mergeCell ref="A1:C1"/>
    <mergeCell ref="D1:E1"/>
    <mergeCell ref="A3:E3"/>
    <mergeCell ref="A6:E6"/>
    <mergeCell ref="A24:B24"/>
  </mergeCells>
  <printOptions horizontalCentered="1"/>
  <pageMargins left="0.94" right="0.236220472440945" top="0.393700787401575" bottom="0.393700787401575" header="0.118110236220472" footer="0.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28">
      <selection activeCell="H15" sqref="H15"/>
    </sheetView>
  </sheetViews>
  <sheetFormatPr defaultColWidth="9.00390625" defaultRowHeight="12.75"/>
  <cols>
    <col min="1" max="1" width="47.00390625" style="69" customWidth="1"/>
    <col min="2" max="2" width="13.75390625" style="69" customWidth="1"/>
    <col min="3" max="3" width="17.875" style="69" customWidth="1"/>
    <col min="4" max="4" width="18.25390625" style="69" customWidth="1"/>
    <col min="5" max="5" width="19.125" style="69" customWidth="1"/>
    <col min="6" max="6" width="17.375" style="69" customWidth="1"/>
    <col min="7" max="7" width="16.125" style="69" customWidth="1"/>
    <col min="8" max="8" width="13.875" style="69" customWidth="1"/>
    <col min="9" max="10" width="9.125" style="69" customWidth="1"/>
    <col min="11" max="11" width="12.125" style="69" customWidth="1"/>
    <col min="12" max="16384" width="9.125" style="69" customWidth="1"/>
  </cols>
  <sheetData>
    <row r="1" ht="18.75"/>
    <row r="2" ht="18.75">
      <c r="C2" s="69" t="s">
        <v>116</v>
      </c>
    </row>
    <row r="3" spans="1:7" ht="18.75">
      <c r="A3" s="71"/>
      <c r="B3" s="72" t="s">
        <v>114</v>
      </c>
      <c r="C3" s="72" t="s">
        <v>115</v>
      </c>
      <c r="D3" s="72" t="s">
        <v>123</v>
      </c>
      <c r="E3" s="85" t="s">
        <v>143</v>
      </c>
      <c r="F3" s="92" t="s">
        <v>153</v>
      </c>
      <c r="G3" s="70"/>
    </row>
    <row r="4" spans="1:7" ht="18.75">
      <c r="A4" s="83" t="s">
        <v>125</v>
      </c>
      <c r="B4" s="84">
        <f>1744350*1.1</f>
        <v>1918785.0000000002</v>
      </c>
      <c r="C4" s="84">
        <v>0</v>
      </c>
      <c r="D4" s="84">
        <f>B4+C4</f>
        <v>1918785.0000000002</v>
      </c>
      <c r="E4" s="84"/>
      <c r="F4" s="70"/>
      <c r="G4" s="70"/>
    </row>
    <row r="5" spans="1:7" ht="18.75">
      <c r="A5" s="74" t="s">
        <v>134</v>
      </c>
      <c r="B5" s="75">
        <v>0</v>
      </c>
      <c r="C5" s="75">
        <v>0</v>
      </c>
      <c r="D5" s="75"/>
      <c r="E5" s="75"/>
      <c r="F5" s="70"/>
      <c r="G5" s="70"/>
    </row>
    <row r="6" spans="1:7" ht="18.75">
      <c r="A6" s="74" t="s">
        <v>135</v>
      </c>
      <c r="B6" s="76">
        <v>0</v>
      </c>
      <c r="C6" s="77">
        <f>45409*1.1</f>
        <v>49949.9</v>
      </c>
      <c r="D6" s="77">
        <f>C6+B6</f>
        <v>49949.9</v>
      </c>
      <c r="E6" s="77"/>
      <c r="F6" s="70">
        <f aca="true" t="shared" si="0" ref="F6:F15">C6</f>
        <v>49949.9</v>
      </c>
      <c r="G6" s="70"/>
    </row>
    <row r="7" spans="1:7" ht="18.75">
      <c r="A7" s="74" t="s">
        <v>136</v>
      </c>
      <c r="B7" s="76">
        <v>0</v>
      </c>
      <c r="C7" s="77">
        <v>1500</v>
      </c>
      <c r="D7" s="77">
        <f>C7+B7</f>
        <v>1500</v>
      </c>
      <c r="E7" s="77"/>
      <c r="F7" s="70">
        <f t="shared" si="0"/>
        <v>1500</v>
      </c>
      <c r="G7" s="70"/>
    </row>
    <row r="8" spans="1:7" ht="18.75">
      <c r="A8" s="74" t="s">
        <v>144</v>
      </c>
      <c r="B8" s="76"/>
      <c r="C8" s="77">
        <v>5000</v>
      </c>
      <c r="D8" s="77">
        <f>C8+B8</f>
        <v>5000</v>
      </c>
      <c r="E8" s="77"/>
      <c r="F8" s="70">
        <f t="shared" si="0"/>
        <v>5000</v>
      </c>
      <c r="G8" s="70"/>
    </row>
    <row r="9" spans="1:7" ht="18.75">
      <c r="A9" s="74" t="s">
        <v>145</v>
      </c>
      <c r="B9" s="76"/>
      <c r="C9" s="77">
        <v>2500</v>
      </c>
      <c r="D9" s="77">
        <f>C9+B9</f>
        <v>2500</v>
      </c>
      <c r="E9" s="77"/>
      <c r="F9" s="70">
        <f t="shared" si="0"/>
        <v>2500</v>
      </c>
      <c r="G9" s="70"/>
    </row>
    <row r="10" spans="1:7" ht="18.75">
      <c r="A10" s="74" t="s">
        <v>117</v>
      </c>
      <c r="B10" s="75"/>
      <c r="C10" s="75">
        <v>4000</v>
      </c>
      <c r="D10" s="77">
        <f>C10+B10</f>
        <v>4000</v>
      </c>
      <c r="E10" s="75"/>
      <c r="F10" s="97">
        <f t="shared" si="0"/>
        <v>4000</v>
      </c>
      <c r="G10" s="70"/>
    </row>
    <row r="11" spans="1:7" ht="18.75">
      <c r="A11" s="74" t="s">
        <v>155</v>
      </c>
      <c r="B11" s="75"/>
      <c r="C11" s="75"/>
      <c r="D11" s="82"/>
      <c r="E11" s="75"/>
      <c r="F11" s="70">
        <v>3000</v>
      </c>
      <c r="G11" s="70"/>
    </row>
    <row r="12" spans="1:7" ht="18.75">
      <c r="A12" s="74" t="s">
        <v>156</v>
      </c>
      <c r="B12" s="75"/>
      <c r="C12" s="75"/>
      <c r="D12" s="82"/>
      <c r="E12" s="75"/>
      <c r="F12" s="97">
        <v>2000</v>
      </c>
      <c r="G12" s="70"/>
    </row>
    <row r="13" spans="1:7" ht="18.75">
      <c r="A13" s="74" t="s">
        <v>157</v>
      </c>
      <c r="B13" s="75"/>
      <c r="C13" s="75"/>
      <c r="D13" s="82"/>
      <c r="E13" s="75"/>
      <c r="F13" s="98">
        <v>4500</v>
      </c>
      <c r="G13" s="70"/>
    </row>
    <row r="14" spans="1:7" ht="18.75">
      <c r="A14" s="74" t="s">
        <v>118</v>
      </c>
      <c r="B14" s="75"/>
      <c r="C14" s="75">
        <v>3500</v>
      </c>
      <c r="D14" s="75">
        <f aca="true" t="shared" si="1" ref="D14:D26">B14+C14</f>
        <v>3500</v>
      </c>
      <c r="E14" s="75"/>
      <c r="F14" s="97">
        <f t="shared" si="0"/>
        <v>3500</v>
      </c>
      <c r="G14" s="70"/>
    </row>
    <row r="15" spans="1:7" ht="18.75">
      <c r="A15" s="74" t="s">
        <v>119</v>
      </c>
      <c r="B15" s="75"/>
      <c r="C15" s="75">
        <v>4000</v>
      </c>
      <c r="D15" s="75">
        <f t="shared" si="1"/>
        <v>4000</v>
      </c>
      <c r="E15" s="75"/>
      <c r="F15" s="97">
        <f t="shared" si="0"/>
        <v>4000</v>
      </c>
      <c r="G15" s="70"/>
    </row>
    <row r="16" spans="1:7" ht="18.75">
      <c r="A16" s="74" t="s">
        <v>149</v>
      </c>
      <c r="B16" s="75"/>
      <c r="C16" s="75">
        <v>8000</v>
      </c>
      <c r="D16" s="75">
        <f t="shared" si="1"/>
        <v>8000</v>
      </c>
      <c r="E16" s="75"/>
      <c r="F16" s="97">
        <v>4000</v>
      </c>
      <c r="G16" s="70"/>
    </row>
    <row r="17" spans="1:7" ht="18.75">
      <c r="A17" s="74" t="s">
        <v>146</v>
      </c>
      <c r="B17" s="75"/>
      <c r="C17" s="77">
        <v>3300</v>
      </c>
      <c r="D17" s="75">
        <f t="shared" si="1"/>
        <v>3300</v>
      </c>
      <c r="E17" s="75"/>
      <c r="F17" s="97">
        <v>3300</v>
      </c>
      <c r="G17" s="70"/>
    </row>
    <row r="18" spans="1:7" ht="18.75">
      <c r="A18" s="74" t="s">
        <v>147</v>
      </c>
      <c r="B18" s="75"/>
      <c r="C18" s="76"/>
      <c r="D18" s="75"/>
      <c r="E18" s="75"/>
      <c r="F18" s="97">
        <v>2000</v>
      </c>
      <c r="G18" s="70"/>
    </row>
    <row r="19" spans="1:7" ht="18.75">
      <c r="A19" s="74" t="s">
        <v>148</v>
      </c>
      <c r="B19" s="75"/>
      <c r="C19" s="76"/>
      <c r="D19" s="75"/>
      <c r="E19" s="75"/>
      <c r="F19" s="97">
        <v>3500</v>
      </c>
      <c r="G19" s="70"/>
    </row>
    <row r="20" spans="1:7" ht="18.75">
      <c r="A20" s="74" t="s">
        <v>152</v>
      </c>
      <c r="B20" s="75"/>
      <c r="C20" s="76"/>
      <c r="D20" s="75"/>
      <c r="E20" s="75"/>
      <c r="F20" s="96">
        <v>4400</v>
      </c>
      <c r="G20" s="70"/>
    </row>
    <row r="21" spans="1:7" ht="18.75">
      <c r="A21" s="78" t="s">
        <v>120</v>
      </c>
      <c r="B21" s="79"/>
      <c r="C21" s="79">
        <v>60000</v>
      </c>
      <c r="D21" s="75">
        <f t="shared" si="1"/>
        <v>60000</v>
      </c>
      <c r="E21" s="79"/>
      <c r="F21" s="70">
        <f>C21</f>
        <v>60000</v>
      </c>
      <c r="G21" s="70"/>
    </row>
    <row r="22" spans="1:7" ht="18.75">
      <c r="A22" s="74" t="s">
        <v>121</v>
      </c>
      <c r="B22" s="75"/>
      <c r="C22" s="75">
        <v>3300</v>
      </c>
      <c r="D22" s="75">
        <f t="shared" si="1"/>
        <v>3300</v>
      </c>
      <c r="E22" s="75"/>
      <c r="F22" s="70">
        <f>C22</f>
        <v>3300</v>
      </c>
      <c r="G22" s="70"/>
    </row>
    <row r="23" spans="1:7" ht="18.75">
      <c r="A23" s="74" t="s">
        <v>138</v>
      </c>
      <c r="B23" s="75"/>
      <c r="C23" s="75">
        <v>1000</v>
      </c>
      <c r="D23" s="75">
        <f t="shared" si="1"/>
        <v>1000</v>
      </c>
      <c r="E23" s="75"/>
      <c r="F23" s="70">
        <f>C23</f>
        <v>1000</v>
      </c>
      <c r="G23" s="70"/>
    </row>
    <row r="24" spans="1:7" ht="18.75">
      <c r="A24" s="74" t="s">
        <v>159</v>
      </c>
      <c r="B24" s="75"/>
      <c r="C24" s="75"/>
      <c r="D24" s="75"/>
      <c r="E24" s="75"/>
      <c r="F24" s="70">
        <v>1800</v>
      </c>
      <c r="G24" s="73">
        <v>2000</v>
      </c>
    </row>
    <row r="25" spans="1:7" ht="18.75">
      <c r="A25" s="78" t="s">
        <v>122</v>
      </c>
      <c r="B25" s="79"/>
      <c r="C25" s="79">
        <v>1980</v>
      </c>
      <c r="D25" s="79">
        <f t="shared" si="1"/>
        <v>1980</v>
      </c>
      <c r="E25" s="79"/>
      <c r="F25" s="73">
        <f>880*3</f>
        <v>2640</v>
      </c>
      <c r="G25" s="70" t="s">
        <v>154</v>
      </c>
    </row>
    <row r="26" spans="1:7" ht="18.75">
      <c r="A26" s="80" t="s">
        <v>124</v>
      </c>
      <c r="B26" s="81"/>
      <c r="C26" s="81"/>
      <c r="D26" s="81">
        <f t="shared" si="1"/>
        <v>0</v>
      </c>
      <c r="E26" s="81"/>
      <c r="F26" s="70"/>
      <c r="G26" s="70"/>
    </row>
    <row r="27" spans="1:7" ht="41.25" customHeight="1">
      <c r="A27" s="93" t="s">
        <v>163</v>
      </c>
      <c r="B27" s="95">
        <v>10800</v>
      </c>
      <c r="C27" s="94">
        <v>0</v>
      </c>
      <c r="D27" s="94">
        <f aca="true" t="shared" si="2" ref="D27:D44">B27+C27</f>
        <v>10800</v>
      </c>
      <c r="E27" s="94"/>
      <c r="F27" s="70"/>
      <c r="G27" s="70"/>
    </row>
    <row r="28" spans="1:7" ht="18.75">
      <c r="A28" s="74" t="s">
        <v>137</v>
      </c>
      <c r="B28" s="75">
        <f>42000*1.1</f>
        <v>46200.00000000001</v>
      </c>
      <c r="C28" s="75">
        <v>0</v>
      </c>
      <c r="D28" s="94">
        <f t="shared" si="2"/>
        <v>46200.00000000001</v>
      </c>
      <c r="E28" s="75"/>
      <c r="F28" s="70"/>
      <c r="G28" s="70"/>
    </row>
    <row r="29" spans="1:7" ht="18.75">
      <c r="A29" s="74" t="s">
        <v>130</v>
      </c>
      <c r="B29" s="77">
        <f>18245*1.1+308</f>
        <v>20377.5</v>
      </c>
      <c r="C29" s="77">
        <f>B29/11</f>
        <v>1852.5</v>
      </c>
      <c r="D29" s="77">
        <f t="shared" si="2"/>
        <v>22230</v>
      </c>
      <c r="E29" s="75"/>
      <c r="F29" s="70">
        <f>D29/12</f>
        <v>1852.5</v>
      </c>
      <c r="G29" s="70"/>
    </row>
    <row r="30" spans="1:7" ht="18.75">
      <c r="A30" s="74" t="s">
        <v>139</v>
      </c>
      <c r="B30" s="75">
        <v>1300</v>
      </c>
      <c r="C30" s="82">
        <v>2900</v>
      </c>
      <c r="D30" s="75">
        <f t="shared" si="2"/>
        <v>4200</v>
      </c>
      <c r="E30" s="75"/>
      <c r="F30" s="73">
        <v>2900</v>
      </c>
      <c r="G30" s="70"/>
    </row>
    <row r="31" spans="1:7" ht="18.75">
      <c r="A31" s="74" t="s">
        <v>140</v>
      </c>
      <c r="B31" s="75">
        <v>1050</v>
      </c>
      <c r="C31" s="82">
        <v>0</v>
      </c>
      <c r="D31" s="75">
        <f t="shared" si="2"/>
        <v>1050</v>
      </c>
      <c r="E31" s="75"/>
      <c r="F31" s="73"/>
      <c r="G31" s="70"/>
    </row>
    <row r="32" spans="1:7" ht="18.75">
      <c r="A32" s="74" t="s">
        <v>141</v>
      </c>
      <c r="B32" s="75">
        <f>21818*1.1</f>
        <v>23999.800000000003</v>
      </c>
      <c r="C32" s="82">
        <v>2000</v>
      </c>
      <c r="D32" s="75">
        <f t="shared" si="2"/>
        <v>25999.800000000003</v>
      </c>
      <c r="E32" s="75"/>
      <c r="F32" s="73">
        <v>3000</v>
      </c>
      <c r="G32" s="70"/>
    </row>
    <row r="33" spans="1:8" ht="18.75">
      <c r="A33" s="91" t="s">
        <v>142</v>
      </c>
      <c r="B33" s="82">
        <f>5000*11</f>
        <v>55000</v>
      </c>
      <c r="C33" s="82">
        <v>5000</v>
      </c>
      <c r="D33" s="75">
        <f t="shared" si="2"/>
        <v>60000</v>
      </c>
      <c r="E33" s="82"/>
      <c r="F33" s="73">
        <v>5000</v>
      </c>
      <c r="G33" s="99" t="s">
        <v>164</v>
      </c>
      <c r="H33" s="100" t="s">
        <v>165</v>
      </c>
    </row>
    <row r="34" spans="1:8" ht="18.75">
      <c r="A34" s="74" t="s">
        <v>158</v>
      </c>
      <c r="B34" s="77">
        <v>246048</v>
      </c>
      <c r="C34" s="77">
        <f>20224*1.1</f>
        <v>22246.4</v>
      </c>
      <c r="D34" s="75">
        <f t="shared" si="2"/>
        <v>268294.4</v>
      </c>
      <c r="E34" s="75"/>
      <c r="F34" s="70">
        <f>D34/12</f>
        <v>22357.86666666667</v>
      </c>
      <c r="G34" s="101">
        <v>17898</v>
      </c>
      <c r="H34" s="102">
        <v>4460</v>
      </c>
    </row>
    <row r="35" spans="1:7" ht="18.75">
      <c r="A35" s="74" t="s">
        <v>131</v>
      </c>
      <c r="B35" s="79">
        <v>350593</v>
      </c>
      <c r="C35" s="79">
        <v>70000</v>
      </c>
      <c r="D35" s="75">
        <f t="shared" si="2"/>
        <v>420593</v>
      </c>
      <c r="E35" s="75"/>
      <c r="F35" s="70"/>
      <c r="G35" s="70"/>
    </row>
    <row r="36" spans="1:8" ht="18.75">
      <c r="A36" s="74" t="s">
        <v>132</v>
      </c>
      <c r="B36" s="79">
        <v>331511</v>
      </c>
      <c r="C36" s="79">
        <v>30000</v>
      </c>
      <c r="D36" s="75">
        <f t="shared" si="2"/>
        <v>361511</v>
      </c>
      <c r="E36" s="75"/>
      <c r="F36" s="103">
        <f>G36+H36</f>
        <v>30138</v>
      </c>
      <c r="G36" s="101">
        <v>28979</v>
      </c>
      <c r="H36" s="102">
        <v>1159</v>
      </c>
    </row>
    <row r="37" spans="1:11" ht="18.75">
      <c r="A37" s="74" t="s">
        <v>160</v>
      </c>
      <c r="B37" s="77">
        <v>22000</v>
      </c>
      <c r="C37" s="75">
        <v>0</v>
      </c>
      <c r="D37" s="75">
        <f t="shared" si="2"/>
        <v>22000</v>
      </c>
      <c r="E37" s="75"/>
      <c r="F37" s="89">
        <f>2000</f>
        <v>2000</v>
      </c>
      <c r="G37" s="89">
        <v>1800</v>
      </c>
      <c r="H37" s="90" t="s">
        <v>150</v>
      </c>
      <c r="I37" s="90" t="s">
        <v>151</v>
      </c>
      <c r="J37" s="90"/>
      <c r="K37" s="77">
        <f>274273*1.1</f>
        <v>301700.30000000005</v>
      </c>
    </row>
    <row r="38" spans="1:10" ht="18.75">
      <c r="A38" s="74" t="s">
        <v>161</v>
      </c>
      <c r="B38" s="77">
        <v>276000</v>
      </c>
      <c r="C38" s="75">
        <v>0</v>
      </c>
      <c r="D38" s="75">
        <f t="shared" si="2"/>
        <v>276000</v>
      </c>
      <c r="E38" s="75"/>
      <c r="F38" s="89">
        <f>D38/12</f>
        <v>23000</v>
      </c>
      <c r="G38" s="89"/>
      <c r="H38" s="90"/>
      <c r="I38" s="90"/>
      <c r="J38" s="90"/>
    </row>
    <row r="39" spans="1:10" ht="18.75">
      <c r="A39" s="74" t="s">
        <v>162</v>
      </c>
      <c r="B39" s="77">
        <f>3364*1.1</f>
        <v>3700.4</v>
      </c>
      <c r="C39" s="75">
        <v>400</v>
      </c>
      <c r="D39" s="75">
        <f t="shared" si="2"/>
        <v>4100.4</v>
      </c>
      <c r="E39" s="75"/>
      <c r="F39" s="89"/>
      <c r="G39" s="89"/>
      <c r="H39" s="90"/>
      <c r="I39" s="90"/>
      <c r="J39" s="90"/>
    </row>
    <row r="40" spans="1:7" ht="18.75">
      <c r="A40" s="74" t="s">
        <v>126</v>
      </c>
      <c r="B40" s="79">
        <v>35000</v>
      </c>
      <c r="C40" s="75">
        <v>0</v>
      </c>
      <c r="D40" s="75">
        <f t="shared" si="2"/>
        <v>35000</v>
      </c>
      <c r="E40" s="75"/>
      <c r="F40" s="70"/>
      <c r="G40" s="70"/>
    </row>
    <row r="41" spans="1:7" ht="18.75">
      <c r="A41" s="74" t="s">
        <v>127</v>
      </c>
      <c r="B41" s="77">
        <f>144799*1.1</f>
        <v>159278.90000000002</v>
      </c>
      <c r="C41" s="77">
        <f>(12000+393)*1.1</f>
        <v>13632.300000000001</v>
      </c>
      <c r="D41" s="75">
        <f t="shared" si="2"/>
        <v>172911.2</v>
      </c>
      <c r="E41" s="75"/>
      <c r="F41" s="70"/>
      <c r="G41" s="70"/>
    </row>
    <row r="42" spans="1:7" ht="18.75">
      <c r="A42" s="74" t="s">
        <v>128</v>
      </c>
      <c r="B42" s="79">
        <v>110000</v>
      </c>
      <c r="C42" s="79">
        <v>10000</v>
      </c>
      <c r="D42" s="75">
        <f t="shared" si="2"/>
        <v>120000</v>
      </c>
      <c r="E42" s="75"/>
      <c r="F42" s="70"/>
      <c r="G42" s="70"/>
    </row>
    <row r="43" spans="1:7" ht="18.75">
      <c r="A43" s="74" t="s">
        <v>133</v>
      </c>
      <c r="B43" s="77">
        <f>396772*1.1</f>
        <v>436449.2</v>
      </c>
      <c r="C43" s="77">
        <f>35000*1.1</f>
        <v>38500</v>
      </c>
      <c r="D43" s="75">
        <f t="shared" si="2"/>
        <v>474949.2</v>
      </c>
      <c r="E43" s="75"/>
      <c r="F43" s="70"/>
      <c r="G43" s="70"/>
    </row>
    <row r="44" spans="1:7" ht="18.75">
      <c r="A44" s="86" t="s">
        <v>129</v>
      </c>
      <c r="B44" s="87">
        <v>22000</v>
      </c>
      <c r="C44" s="87"/>
      <c r="D44" s="75">
        <f t="shared" si="2"/>
        <v>22000</v>
      </c>
      <c r="E44" s="87"/>
      <c r="F44" s="70"/>
      <c r="G44" s="70"/>
    </row>
    <row r="45" spans="1:6" ht="18.75">
      <c r="A45" s="71"/>
      <c r="B45" s="88">
        <f>SUM(B4:B44)</f>
        <v>4070092.8000000003</v>
      </c>
      <c r="C45" s="88">
        <f>SUM(C4:C44)</f>
        <v>344561.1</v>
      </c>
      <c r="D45" s="88">
        <f>SUM(D4:D44)</f>
        <v>4414653.9</v>
      </c>
      <c r="E45" s="88"/>
      <c r="F45" s="70"/>
    </row>
    <row r="46" spans="2:6" ht="18.75">
      <c r="B46" s="70"/>
      <c r="C46" s="70"/>
      <c r="D46" s="70">
        <f>B45+C45</f>
        <v>4414653.9</v>
      </c>
      <c r="E46" s="70"/>
      <c r="F46" s="70"/>
    </row>
    <row r="47" spans="2:6" ht="18.75">
      <c r="B47" s="70"/>
      <c r="C47" s="70"/>
      <c r="D47" s="70"/>
      <c r="E47" s="70"/>
      <c r="F47" s="70"/>
    </row>
    <row r="48" spans="2:6" ht="18.75">
      <c r="B48" s="70"/>
      <c r="C48" s="70"/>
      <c r="D48" s="70"/>
      <c r="E48" s="70"/>
      <c r="F48" s="70"/>
    </row>
    <row r="49" spans="2:6" ht="18.75">
      <c r="B49" s="70"/>
      <c r="C49" s="70"/>
      <c r="D49" s="70"/>
      <c r="E49" s="70"/>
      <c r="F49" s="70"/>
    </row>
    <row r="50" spans="2:6" ht="18.75">
      <c r="B50" s="70"/>
      <c r="C50" s="70"/>
      <c r="D50" s="70"/>
      <c r="E50" s="70"/>
      <c r="F50" s="70"/>
    </row>
    <row r="51" spans="2:6" ht="18.75">
      <c r="B51" s="70"/>
      <c r="C51" s="70"/>
      <c r="D51" s="70"/>
      <c r="E51" s="70"/>
      <c r="F51" s="70"/>
    </row>
    <row r="52" spans="2:6" ht="18.75">
      <c r="B52" s="70"/>
      <c r="C52" s="70"/>
      <c r="D52" s="70"/>
      <c r="E52" s="70"/>
      <c r="F52" s="70"/>
    </row>
    <row r="53" spans="2:6" ht="18.75">
      <c r="B53" s="70"/>
      <c r="C53" s="70"/>
      <c r="D53" s="70"/>
      <c r="E53" s="70"/>
      <c r="F53" s="70"/>
    </row>
    <row r="54" spans="2:6" ht="18.75">
      <c r="B54" s="70"/>
      <c r="C54" s="70"/>
      <c r="D54" s="70"/>
      <c r="E54" s="70"/>
      <c r="F54" s="70"/>
    </row>
    <row r="55" spans="2:6" ht="18.75">
      <c r="B55" s="70"/>
      <c r="C55" s="70"/>
      <c r="D55" s="70"/>
      <c r="E55" s="70"/>
      <c r="F55" s="70"/>
    </row>
    <row r="56" spans="2:6" ht="18.75">
      <c r="B56" s="70"/>
      <c r="C56" s="70"/>
      <c r="D56" s="70"/>
      <c r="E56" s="70"/>
      <c r="F56" s="70"/>
    </row>
    <row r="57" spans="2:6" ht="18.75">
      <c r="B57" s="70"/>
      <c r="C57" s="70"/>
      <c r="D57" s="70"/>
      <c r="E57" s="70"/>
      <c r="F57" s="70"/>
    </row>
    <row r="58" spans="2:6" ht="18.75">
      <c r="B58" s="70"/>
      <c r="C58" s="70"/>
      <c r="D58" s="70"/>
      <c r="E58" s="70"/>
      <c r="F58" s="70"/>
    </row>
    <row r="59" spans="2:6" ht="18.75">
      <c r="B59" s="70"/>
      <c r="C59" s="70"/>
      <c r="D59" s="70"/>
      <c r="E59" s="70"/>
      <c r="F59" s="70"/>
    </row>
  </sheetData>
  <sheetProtection/>
  <autoFilter ref="A3:K3"/>
  <printOptions/>
  <pageMargins left="0.2" right="0.2" top="0.26" bottom="0.31" header="0.2" footer="0.2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" sqref="E2:E24"/>
    </sheetView>
  </sheetViews>
  <sheetFormatPr defaultColWidth="9.00390625" defaultRowHeight="12.75"/>
  <cols>
    <col min="1" max="1" width="3.875" style="145" bestFit="1" customWidth="1"/>
    <col min="2" max="2" width="23.25390625" style="145" bestFit="1" customWidth="1"/>
    <col min="3" max="3" width="8.75390625" style="145" bestFit="1" customWidth="1"/>
    <col min="4" max="4" width="12.00390625" style="145" bestFit="1" customWidth="1"/>
    <col min="5" max="6" width="15.125" style="145" bestFit="1" customWidth="1"/>
    <col min="7" max="7" width="16.75390625" style="163" customWidth="1"/>
    <col min="8" max="8" width="17.25390625" style="145" customWidth="1"/>
    <col min="9" max="9" width="15.125" style="145" bestFit="1" customWidth="1"/>
    <col min="10" max="16384" width="9.125" style="145" customWidth="1"/>
  </cols>
  <sheetData>
    <row r="1" spans="5:9" s="151" customFormat="1" ht="37.5" customHeight="1">
      <c r="E1" s="151" t="s">
        <v>168</v>
      </c>
      <c r="F1" s="151" t="s">
        <v>239</v>
      </c>
      <c r="G1" s="161" t="s">
        <v>238</v>
      </c>
      <c r="H1" s="151" t="s">
        <v>240</v>
      </c>
      <c r="I1" s="151" t="s">
        <v>241</v>
      </c>
    </row>
    <row r="2" spans="1:9" ht="15.75">
      <c r="A2" s="37" t="s">
        <v>5</v>
      </c>
      <c r="B2" s="38" t="s">
        <v>48</v>
      </c>
      <c r="C2" s="39"/>
      <c r="D2" s="58"/>
      <c r="E2" s="35">
        <v>21076572.937000003</v>
      </c>
      <c r="F2" s="35">
        <f>E2/11</f>
        <v>1916052.0851818183</v>
      </c>
      <c r="G2" s="160">
        <f>SUM(G3:G12)</f>
        <v>2432359.5</v>
      </c>
      <c r="H2" s="35" t="e">
        <f>SUM(H3:H12)</f>
        <v>#REF!</v>
      </c>
      <c r="I2" s="35" t="e">
        <f>H2+E2</f>
        <v>#REF!</v>
      </c>
    </row>
    <row r="3" spans="1:9" ht="15.75">
      <c r="A3" s="51">
        <v>1</v>
      </c>
      <c r="B3" s="108" t="s">
        <v>49</v>
      </c>
      <c r="C3" s="52" t="s">
        <v>50</v>
      </c>
      <c r="D3" s="57" t="s">
        <v>50</v>
      </c>
      <c r="E3" s="50">
        <v>11646488.963</v>
      </c>
      <c r="F3" s="50">
        <f aca="true" t="shared" si="0" ref="F3:F24">E3/11</f>
        <v>1058771.723909091</v>
      </c>
      <c r="G3" s="162">
        <f>'[7]Sheet'!$I$19/1000</f>
        <v>963073.693</v>
      </c>
      <c r="H3" s="50" t="e">
        <f>#REF!*25%*75%-'Chi phí 2016'!E3</f>
        <v>#REF!</v>
      </c>
      <c r="I3" s="50" t="e">
        <f>H3+E3</f>
        <v>#REF!</v>
      </c>
    </row>
    <row r="4" spans="1:9" ht="15.75">
      <c r="A4" s="51">
        <v>2</v>
      </c>
      <c r="B4" s="55" t="s">
        <v>51</v>
      </c>
      <c r="C4" s="56" t="s">
        <v>50</v>
      </c>
      <c r="D4" s="59" t="s">
        <v>50</v>
      </c>
      <c r="E4" s="50">
        <v>1145930.4</v>
      </c>
      <c r="F4" s="50">
        <f t="shared" si="0"/>
        <v>104175.4909090909</v>
      </c>
      <c r="G4" s="162">
        <f>SUM('[7]Sheet'!$I$20:$J$23)/1000</f>
        <v>87806.64</v>
      </c>
      <c r="H4" s="50">
        <f>F4</f>
        <v>104175.4909090909</v>
      </c>
      <c r="I4" s="50">
        <f aca="true" t="shared" si="1" ref="I4:I12">H4+E4</f>
        <v>1250105.8909090909</v>
      </c>
    </row>
    <row r="5" spans="1:9" ht="15.75">
      <c r="A5" s="51">
        <v>3</v>
      </c>
      <c r="B5" s="55" t="s">
        <v>52</v>
      </c>
      <c r="C5" s="56" t="s">
        <v>53</v>
      </c>
      <c r="D5" s="59" t="s">
        <v>108</v>
      </c>
      <c r="E5" s="50">
        <v>1493399.075</v>
      </c>
      <c r="F5" s="50">
        <f t="shared" si="0"/>
        <v>135763.55227272728</v>
      </c>
      <c r="G5" s="162">
        <f>('[7]Sheet'!$I$28+'[7]Sheet'!$I$29)/1000</f>
        <v>156219.805</v>
      </c>
      <c r="H5" s="50">
        <f>G5</f>
        <v>156219.805</v>
      </c>
      <c r="I5" s="50">
        <f t="shared" si="1"/>
        <v>1649618.88</v>
      </c>
    </row>
    <row r="6" spans="1:9" ht="15.75">
      <c r="A6" s="51">
        <v>5</v>
      </c>
      <c r="B6" s="125" t="s">
        <v>54</v>
      </c>
      <c r="C6" s="52" t="s">
        <v>55</v>
      </c>
      <c r="D6" s="57" t="s">
        <v>55</v>
      </c>
      <c r="E6" s="50">
        <v>547520.745</v>
      </c>
      <c r="F6" s="50">
        <f t="shared" si="0"/>
        <v>49774.61318181818</v>
      </c>
      <c r="G6" s="162">
        <f>'[7]Sheet'!$I$34/1000</f>
        <v>79598.859</v>
      </c>
      <c r="H6" s="50">
        <f>G6</f>
        <v>79598.859</v>
      </c>
      <c r="I6" s="50">
        <f t="shared" si="1"/>
        <v>627119.604</v>
      </c>
    </row>
    <row r="7" spans="1:9" ht="15.75">
      <c r="A7" s="51">
        <v>6</v>
      </c>
      <c r="B7" s="125" t="s">
        <v>56</v>
      </c>
      <c r="C7" s="52" t="s">
        <v>57</v>
      </c>
      <c r="D7" s="57" t="s">
        <v>109</v>
      </c>
      <c r="E7" s="50">
        <v>646756.43</v>
      </c>
      <c r="F7" s="50">
        <f t="shared" si="0"/>
        <v>58796.03909090909</v>
      </c>
      <c r="G7" s="162">
        <f>('[7]Sheet'!$I$33+'[7]Sheet'!$I$35)/1000</f>
        <v>89830.052</v>
      </c>
      <c r="H7" s="50">
        <f>G7</f>
        <v>89830.052</v>
      </c>
      <c r="I7" s="50">
        <f t="shared" si="1"/>
        <v>736586.4820000001</v>
      </c>
    </row>
    <row r="8" spans="1:9" ht="15.75">
      <c r="A8" s="51">
        <v>7</v>
      </c>
      <c r="B8" s="108" t="s">
        <v>58</v>
      </c>
      <c r="C8" s="52" t="s">
        <v>59</v>
      </c>
      <c r="D8" s="57" t="s">
        <v>59</v>
      </c>
      <c r="E8" s="50">
        <v>224567.784</v>
      </c>
      <c r="F8" s="50">
        <f t="shared" si="0"/>
        <v>20415.253090909093</v>
      </c>
      <c r="G8" s="162">
        <f>'[7]Sheet'!$I$25/1000</f>
        <v>35639.099</v>
      </c>
      <c r="H8" s="50">
        <f>F8</f>
        <v>20415.253090909093</v>
      </c>
      <c r="I8" s="50">
        <f t="shared" si="1"/>
        <v>244983.0370909091</v>
      </c>
    </row>
    <row r="9" spans="1:9" ht="15.75">
      <c r="A9" s="51">
        <v>8</v>
      </c>
      <c r="B9" s="108" t="s">
        <v>60</v>
      </c>
      <c r="C9" s="52" t="s">
        <v>61</v>
      </c>
      <c r="D9" s="57" t="s">
        <v>110</v>
      </c>
      <c r="E9" s="50">
        <v>1961871.496</v>
      </c>
      <c r="F9" s="50">
        <f t="shared" si="0"/>
        <v>178351.95418181818</v>
      </c>
      <c r="G9" s="162">
        <f>('[7]Sheet'!$I$31+7025334)/1000</f>
        <v>251910.384</v>
      </c>
      <c r="H9" s="50">
        <f>G9</f>
        <v>251910.384</v>
      </c>
      <c r="I9" s="50">
        <f t="shared" si="1"/>
        <v>2213781.88</v>
      </c>
    </row>
    <row r="10" spans="1:9" ht="15.75">
      <c r="A10" s="51">
        <v>9</v>
      </c>
      <c r="B10" s="108" t="s">
        <v>62</v>
      </c>
      <c r="C10" s="52" t="s">
        <v>61</v>
      </c>
      <c r="D10" s="57" t="s">
        <v>61</v>
      </c>
      <c r="E10" s="50">
        <v>1002396.51</v>
      </c>
      <c r="F10" s="50">
        <f t="shared" si="0"/>
        <v>91126.95545454546</v>
      </c>
      <c r="G10" s="162"/>
      <c r="H10" s="50"/>
      <c r="I10" s="50">
        <f t="shared" si="1"/>
        <v>1002396.51</v>
      </c>
    </row>
    <row r="11" spans="1:9" ht="15.75">
      <c r="A11" s="51">
        <v>10</v>
      </c>
      <c r="B11" s="108" t="s">
        <v>63</v>
      </c>
      <c r="C11" s="52" t="s">
        <v>64</v>
      </c>
      <c r="D11" s="57" t="s">
        <v>64</v>
      </c>
      <c r="E11" s="50">
        <v>460422.076</v>
      </c>
      <c r="F11" s="50">
        <f t="shared" si="0"/>
        <v>41856.552363636365</v>
      </c>
      <c r="G11" s="162">
        <f>('[7]Sheet'!$I$37+'[7]Sheet'!$I$27)/1000</f>
        <v>575110.458</v>
      </c>
      <c r="H11" s="50">
        <f>F11</f>
        <v>41856.552363636365</v>
      </c>
      <c r="I11" s="50">
        <f t="shared" si="1"/>
        <v>502278.6283636364</v>
      </c>
    </row>
    <row r="12" spans="1:9" ht="15.75">
      <c r="A12" s="51">
        <v>11</v>
      </c>
      <c r="B12" s="108" t="s">
        <v>65</v>
      </c>
      <c r="C12" s="52" t="s">
        <v>66</v>
      </c>
      <c r="D12" s="57" t="s">
        <v>112</v>
      </c>
      <c r="E12" s="50">
        <v>1947219.458</v>
      </c>
      <c r="F12" s="50">
        <f t="shared" si="0"/>
        <v>177019.95072727275</v>
      </c>
      <c r="G12" s="162">
        <f>'[7]Sheet'!$I$17/1000</f>
        <v>193170.51</v>
      </c>
      <c r="H12" s="50">
        <f>G12</f>
        <v>193170.51</v>
      </c>
      <c r="I12" s="50">
        <f t="shared" si="1"/>
        <v>2140389.9680000003</v>
      </c>
    </row>
    <row r="13" spans="1:9" ht="15.75">
      <c r="A13" s="37" t="s">
        <v>6</v>
      </c>
      <c r="B13" s="38" t="s">
        <v>67</v>
      </c>
      <c r="C13" s="54" t="s">
        <v>68</v>
      </c>
      <c r="D13" s="58" t="s">
        <v>68</v>
      </c>
      <c r="E13" s="35">
        <v>0</v>
      </c>
      <c r="F13" s="35">
        <f t="shared" si="0"/>
        <v>0</v>
      </c>
      <c r="G13" s="160"/>
      <c r="H13" s="35">
        <v>350000</v>
      </c>
      <c r="I13" s="35">
        <f>H13+E13</f>
        <v>350000</v>
      </c>
    </row>
    <row r="14" spans="1:9" ht="15.75">
      <c r="A14" s="37" t="s">
        <v>7</v>
      </c>
      <c r="B14" s="38" t="s">
        <v>166</v>
      </c>
      <c r="C14" s="54" t="s">
        <v>69</v>
      </c>
      <c r="D14" s="58" t="s">
        <v>69</v>
      </c>
      <c r="E14" s="35">
        <v>8147299.598999999</v>
      </c>
      <c r="F14" s="35">
        <f t="shared" si="0"/>
        <v>740663.5999090909</v>
      </c>
      <c r="G14" s="160">
        <f>SUM(G15:G24)</f>
        <v>504509.885</v>
      </c>
      <c r="H14" s="35" t="e">
        <f>SUM(H15:H24)</f>
        <v>#REF!</v>
      </c>
      <c r="I14" s="35" t="e">
        <f aca="true" t="shared" si="2" ref="I14:I24">H14+E14</f>
        <v>#REF!</v>
      </c>
    </row>
    <row r="15" spans="1:9" ht="38.25">
      <c r="A15" s="51">
        <v>1</v>
      </c>
      <c r="B15" s="55" t="s">
        <v>70</v>
      </c>
      <c r="C15" s="56" t="s">
        <v>71</v>
      </c>
      <c r="D15" s="59" t="s">
        <v>71</v>
      </c>
      <c r="E15" s="50">
        <v>3882162.986</v>
      </c>
      <c r="F15" s="50">
        <f t="shared" si="0"/>
        <v>352923.90781818185</v>
      </c>
      <c r="G15" s="162">
        <f>'[8]Sheet'!$I$17/1000</f>
        <v>96158.359</v>
      </c>
      <c r="H15" s="50" t="e">
        <f>#REF!*25%*25%-'Chi phí 2016'!E15</f>
        <v>#REF!</v>
      </c>
      <c r="I15" s="50" t="e">
        <f t="shared" si="2"/>
        <v>#REF!</v>
      </c>
    </row>
    <row r="16" spans="1:9" ht="15.75">
      <c r="A16" s="51">
        <v>2</v>
      </c>
      <c r="B16" s="55" t="s">
        <v>51</v>
      </c>
      <c r="C16" s="56" t="s">
        <v>71</v>
      </c>
      <c r="D16" s="59" t="s">
        <v>71</v>
      </c>
      <c r="E16" s="50">
        <v>249808.16</v>
      </c>
      <c r="F16" s="50">
        <f t="shared" si="0"/>
        <v>22709.83272727273</v>
      </c>
      <c r="G16" s="162">
        <f>SUM('[8]Sheet'!$I$19:$J$22)/1000</f>
        <v>19124.04</v>
      </c>
      <c r="H16" s="50">
        <f>F16</f>
        <v>22709.83272727273</v>
      </c>
      <c r="I16" s="50">
        <f t="shared" si="2"/>
        <v>272517.99272727274</v>
      </c>
    </row>
    <row r="17" spans="1:9" ht="15.75">
      <c r="A17" s="51">
        <v>3</v>
      </c>
      <c r="B17" s="55" t="s">
        <v>72</v>
      </c>
      <c r="C17" s="56" t="s">
        <v>73</v>
      </c>
      <c r="D17" s="59" t="s">
        <v>73</v>
      </c>
      <c r="E17" s="50">
        <v>174451.489</v>
      </c>
      <c r="F17" s="50">
        <f t="shared" si="0"/>
        <v>15859.226272727274</v>
      </c>
      <c r="G17" s="162">
        <f>'[8]Sheet'!$I$15/1000</f>
        <v>15525.82</v>
      </c>
      <c r="H17" s="50">
        <f>F17</f>
        <v>15859.226272727274</v>
      </c>
      <c r="I17" s="50">
        <f t="shared" si="2"/>
        <v>190310.71527272728</v>
      </c>
    </row>
    <row r="18" spans="1:9" ht="15.75">
      <c r="A18" s="51">
        <v>5</v>
      </c>
      <c r="B18" s="125" t="s">
        <v>74</v>
      </c>
      <c r="C18" s="52" t="s">
        <v>55</v>
      </c>
      <c r="D18" s="57" t="s">
        <v>55</v>
      </c>
      <c r="E18" s="50"/>
      <c r="F18" s="50">
        <f t="shared" si="0"/>
        <v>0</v>
      </c>
      <c r="G18" s="162"/>
      <c r="H18" s="50"/>
      <c r="I18" s="50">
        <f t="shared" si="2"/>
        <v>0</v>
      </c>
    </row>
    <row r="19" spans="1:9" ht="15.75">
      <c r="A19" s="51">
        <v>6</v>
      </c>
      <c r="B19" s="108" t="s">
        <v>75</v>
      </c>
      <c r="C19" s="52" t="s">
        <v>76</v>
      </c>
      <c r="D19" s="57" t="s">
        <v>76</v>
      </c>
      <c r="E19" s="50">
        <v>60915.352</v>
      </c>
      <c r="F19" s="50">
        <f t="shared" si="0"/>
        <v>5537.759272727272</v>
      </c>
      <c r="G19" s="162">
        <f>'[8]Sheet'!$I$31/1000</f>
        <v>5937.879</v>
      </c>
      <c r="H19" s="50">
        <f>F19</f>
        <v>5537.759272727272</v>
      </c>
      <c r="I19" s="50">
        <f t="shared" si="2"/>
        <v>66453.11127272727</v>
      </c>
    </row>
    <row r="20" spans="1:9" ht="25.5">
      <c r="A20" s="51">
        <v>7</v>
      </c>
      <c r="B20" s="55" t="s">
        <v>77</v>
      </c>
      <c r="C20" s="56" t="s">
        <v>78</v>
      </c>
      <c r="D20" s="59" t="s">
        <v>78</v>
      </c>
      <c r="E20" s="50">
        <v>668801.316</v>
      </c>
      <c r="F20" s="50">
        <f t="shared" si="0"/>
        <v>60800.11963636363</v>
      </c>
      <c r="G20" s="162">
        <f>'[8]Sheet'!$I$25/1000</f>
        <v>42533.625</v>
      </c>
      <c r="H20" s="50">
        <f>F20</f>
        <v>60800.11963636363</v>
      </c>
      <c r="I20" s="50">
        <f t="shared" si="2"/>
        <v>729601.4356363636</v>
      </c>
    </row>
    <row r="21" spans="1:9" ht="15.75">
      <c r="A21" s="51">
        <v>8</v>
      </c>
      <c r="B21" s="55" t="s">
        <v>79</v>
      </c>
      <c r="C21" s="56" t="s">
        <v>80</v>
      </c>
      <c r="D21" s="59" t="s">
        <v>80</v>
      </c>
      <c r="E21" s="50">
        <v>25576.182</v>
      </c>
      <c r="F21" s="50">
        <f t="shared" si="0"/>
        <v>2325.1074545454544</v>
      </c>
      <c r="G21" s="162"/>
      <c r="H21" s="50"/>
      <c r="I21" s="50">
        <f t="shared" si="2"/>
        <v>25576.182</v>
      </c>
    </row>
    <row r="22" spans="1:9" ht="15.75">
      <c r="A22" s="51">
        <v>9</v>
      </c>
      <c r="B22" s="55" t="s">
        <v>81</v>
      </c>
      <c r="C22" s="56" t="s">
        <v>82</v>
      </c>
      <c r="D22" s="59" t="s">
        <v>82</v>
      </c>
      <c r="E22" s="50">
        <v>502431.512</v>
      </c>
      <c r="F22" s="50">
        <f t="shared" si="0"/>
        <v>45675.592</v>
      </c>
      <c r="G22" s="162">
        <f>'[8]Sheet'!$I$26/1000</f>
        <v>53994.798</v>
      </c>
      <c r="H22" s="50">
        <f>G22</f>
        <v>53994.798</v>
      </c>
      <c r="I22" s="50">
        <f t="shared" si="2"/>
        <v>556426.3099999999</v>
      </c>
    </row>
    <row r="23" spans="1:9" ht="25.5">
      <c r="A23" s="51">
        <v>10</v>
      </c>
      <c r="B23" s="55" t="s">
        <v>83</v>
      </c>
      <c r="C23" s="56" t="s">
        <v>84</v>
      </c>
      <c r="D23" s="59" t="s">
        <v>84</v>
      </c>
      <c r="E23" s="50">
        <v>904667.107</v>
      </c>
      <c r="F23" s="50">
        <f t="shared" si="0"/>
        <v>82242.46427272727</v>
      </c>
      <c r="G23" s="162">
        <f>'[8]Sheet'!$I$23/1000</f>
        <v>125000</v>
      </c>
      <c r="H23" s="50">
        <f>G23</f>
        <v>125000</v>
      </c>
      <c r="I23" s="50">
        <f>H23+E23</f>
        <v>1029667.107</v>
      </c>
    </row>
    <row r="24" spans="1:9" ht="15.75">
      <c r="A24" s="51">
        <v>11</v>
      </c>
      <c r="B24" s="55" t="s">
        <v>60</v>
      </c>
      <c r="C24" s="56" t="s">
        <v>84</v>
      </c>
      <c r="D24" s="59" t="s">
        <v>84</v>
      </c>
      <c r="E24" s="50">
        <v>1678485.495</v>
      </c>
      <c r="F24" s="50">
        <f t="shared" si="0"/>
        <v>152589.59045454545</v>
      </c>
      <c r="G24" s="162">
        <f>('[8]Sheet'!$I$30+'[8]Sheet'!$I$18)/1000</f>
        <v>146235.364</v>
      </c>
      <c r="H24" s="50">
        <f>F24</f>
        <v>152589.59045454545</v>
      </c>
      <c r="I24" s="50">
        <f t="shared" si="2"/>
        <v>1831075.0854545454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3">
      <selection activeCell="N24" sqref="N24"/>
    </sheetView>
  </sheetViews>
  <sheetFormatPr defaultColWidth="9.00390625" defaultRowHeight="12.75"/>
  <cols>
    <col min="1" max="1" width="3.375" style="9" customWidth="1"/>
    <col min="2" max="2" width="2.00390625" style="9" customWidth="1"/>
    <col min="3" max="3" width="27.875" style="9" customWidth="1"/>
    <col min="4" max="4" width="21.00390625" style="9" customWidth="1"/>
    <col min="5" max="5" width="10.875" style="9" customWidth="1"/>
    <col min="6" max="6" width="1.25" style="9" customWidth="1"/>
    <col min="7" max="7" width="4.375" style="9" customWidth="1"/>
    <col min="8" max="8" width="14.625" style="9" customWidth="1"/>
    <col min="9" max="9" width="9.375" style="9" customWidth="1"/>
    <col min="10" max="10" width="4.875" style="9" customWidth="1"/>
    <col min="11" max="11" width="13.875" style="9" bestFit="1" customWidth="1"/>
    <col min="12" max="12" width="9.125" style="9" customWidth="1"/>
    <col min="13" max="13" width="12.75390625" style="9" bestFit="1" customWidth="1"/>
    <col min="14" max="16384" width="9.125" style="9" customWidth="1"/>
  </cols>
  <sheetData>
    <row r="1" spans="1:10" ht="16.5" customHeight="1">
      <c r="A1" s="274" t="s">
        <v>169</v>
      </c>
      <c r="B1" s="280" t="s">
        <v>170</v>
      </c>
      <c r="C1" s="280"/>
      <c r="D1" s="280"/>
      <c r="E1" s="280"/>
      <c r="F1" s="274"/>
      <c r="G1" s="274"/>
      <c r="H1" s="274"/>
      <c r="I1" s="274"/>
      <c r="J1" s="274"/>
    </row>
    <row r="2" spans="1:10" ht="1.5" customHeight="1">
      <c r="A2" s="281"/>
      <c r="B2" s="280"/>
      <c r="C2" s="280"/>
      <c r="D2" s="280"/>
      <c r="E2" s="280"/>
      <c r="F2" s="281"/>
      <c r="G2" s="281"/>
      <c r="H2" s="281"/>
      <c r="I2" s="281"/>
      <c r="J2" s="281"/>
    </row>
    <row r="3" spans="1:10" ht="18" customHeight="1">
      <c r="A3" s="146"/>
      <c r="B3" s="282" t="s">
        <v>171</v>
      </c>
      <c r="C3" s="282"/>
      <c r="D3" s="282"/>
      <c r="E3" s="282"/>
      <c r="F3" s="146"/>
      <c r="G3" s="146"/>
      <c r="H3" s="146"/>
      <c r="I3" s="146"/>
      <c r="J3" s="146"/>
    </row>
    <row r="4" spans="1:10" ht="26.25" customHeight="1">
      <c r="A4" s="283" t="s">
        <v>172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6.5" customHeight="1">
      <c r="A5" s="284" t="s">
        <v>173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6.5" customHeight="1">
      <c r="A6" s="284" t="s">
        <v>174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6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6.5" customHeight="1">
      <c r="A8" s="284" t="s">
        <v>175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7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6.5" customHeight="1">
      <c r="A10" s="274" t="s">
        <v>176</v>
      </c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7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6.5" customHeight="1">
      <c r="A12" s="275"/>
      <c r="B12" s="275"/>
      <c r="C12" s="276"/>
      <c r="D12" s="276"/>
      <c r="E12" s="277" t="s">
        <v>177</v>
      </c>
      <c r="F12" s="277"/>
      <c r="G12" s="277"/>
      <c r="H12" s="277"/>
      <c r="I12" s="277"/>
      <c r="J12" s="277"/>
    </row>
    <row r="13" spans="1:10" ht="24.75" customHeight="1">
      <c r="A13" s="278" t="s">
        <v>178</v>
      </c>
      <c r="B13" s="278"/>
      <c r="C13" s="279" t="s">
        <v>179</v>
      </c>
      <c r="D13" s="279"/>
      <c r="E13" s="279" t="s">
        <v>180</v>
      </c>
      <c r="F13" s="279"/>
      <c r="G13" s="279"/>
      <c r="H13" s="147" t="s">
        <v>181</v>
      </c>
      <c r="I13" s="279" t="s">
        <v>182</v>
      </c>
      <c r="J13" s="279"/>
    </row>
    <row r="14" spans="1:10" ht="15.75" customHeight="1">
      <c r="A14" s="267" t="s">
        <v>169</v>
      </c>
      <c r="B14" s="267"/>
      <c r="C14" s="268"/>
      <c r="D14" s="268"/>
      <c r="E14" s="265">
        <v>293966787</v>
      </c>
      <c r="F14" s="265"/>
      <c r="G14" s="265"/>
      <c r="H14" s="148">
        <v>2300227000</v>
      </c>
      <c r="I14" s="265">
        <v>-2006260213</v>
      </c>
      <c r="J14" s="265"/>
    </row>
    <row r="15" spans="1:10" ht="15.75" customHeight="1">
      <c r="A15" s="269"/>
      <c r="B15" s="269"/>
      <c r="C15" s="272" t="s">
        <v>242</v>
      </c>
      <c r="D15" s="272"/>
      <c r="E15" s="273">
        <v>293966787</v>
      </c>
      <c r="F15" s="273"/>
      <c r="G15" s="273"/>
      <c r="H15" s="149">
        <v>2300227000</v>
      </c>
      <c r="I15" s="271">
        <v>-2006260213</v>
      </c>
      <c r="J15" s="271"/>
    </row>
    <row r="16" spans="1:11" ht="15" customHeight="1">
      <c r="A16" s="267" t="s">
        <v>183</v>
      </c>
      <c r="B16" s="267"/>
      <c r="C16" s="268" t="s">
        <v>184</v>
      </c>
      <c r="D16" s="268"/>
      <c r="E16" s="265">
        <v>1947219458</v>
      </c>
      <c r="F16" s="265"/>
      <c r="G16" s="265"/>
      <c r="H16" s="148">
        <v>0</v>
      </c>
      <c r="I16" s="265">
        <v>1947219458</v>
      </c>
      <c r="J16" s="265"/>
      <c r="K16" s="8">
        <f>I16/1000</f>
        <v>1947219.458</v>
      </c>
    </row>
    <row r="17" spans="1:10" ht="15.75" customHeight="1">
      <c r="A17" s="269" t="s">
        <v>185</v>
      </c>
      <c r="B17" s="269"/>
      <c r="C17" s="270" t="s">
        <v>186</v>
      </c>
      <c r="D17" s="270"/>
      <c r="E17" s="271">
        <v>1947219458</v>
      </c>
      <c r="F17" s="271"/>
      <c r="G17" s="271"/>
      <c r="H17" s="149">
        <v>0</v>
      </c>
      <c r="I17" s="271">
        <v>1947219458</v>
      </c>
      <c r="J17" s="271"/>
    </row>
    <row r="18" spans="1:10" ht="15" customHeight="1">
      <c r="A18" s="267" t="s">
        <v>187</v>
      </c>
      <c r="B18" s="267"/>
      <c r="C18" s="268" t="s">
        <v>188</v>
      </c>
      <c r="D18" s="268"/>
      <c r="E18" s="265">
        <v>12792419363</v>
      </c>
      <c r="F18" s="265"/>
      <c r="G18" s="265"/>
      <c r="H18" s="148">
        <v>0</v>
      </c>
      <c r="I18" s="265">
        <v>12792419363</v>
      </c>
      <c r="J18" s="265"/>
    </row>
    <row r="19" spans="1:11" ht="15.75" customHeight="1">
      <c r="A19" s="269" t="s">
        <v>187</v>
      </c>
      <c r="B19" s="269"/>
      <c r="C19" s="270" t="s">
        <v>189</v>
      </c>
      <c r="D19" s="270"/>
      <c r="E19" s="271">
        <v>11646488963</v>
      </c>
      <c r="F19" s="271"/>
      <c r="G19" s="271"/>
      <c r="H19" s="149">
        <v>0</v>
      </c>
      <c r="I19" s="271">
        <v>11646488963</v>
      </c>
      <c r="J19" s="271"/>
      <c r="K19" s="8">
        <f>I19/1000</f>
        <v>11646488.963</v>
      </c>
    </row>
    <row r="20" spans="1:11" ht="15.75" customHeight="1">
      <c r="A20" s="269" t="s">
        <v>190</v>
      </c>
      <c r="B20" s="269"/>
      <c r="C20" s="270" t="s">
        <v>191</v>
      </c>
      <c r="D20" s="270"/>
      <c r="E20" s="271">
        <v>857085300</v>
      </c>
      <c r="F20" s="271"/>
      <c r="G20" s="271"/>
      <c r="H20" s="149">
        <v>0</v>
      </c>
      <c r="I20" s="271">
        <v>857085300</v>
      </c>
      <c r="J20" s="271"/>
      <c r="K20" s="8">
        <f>(I20+I21+I22+I23)/1000</f>
        <v>1145930.4</v>
      </c>
    </row>
    <row r="21" spans="1:10" ht="16.5" customHeight="1">
      <c r="A21" s="269" t="s">
        <v>192</v>
      </c>
      <c r="B21" s="269"/>
      <c r="C21" s="270" t="s">
        <v>193</v>
      </c>
      <c r="D21" s="270"/>
      <c r="E21" s="271">
        <v>142847550</v>
      </c>
      <c r="F21" s="271"/>
      <c r="G21" s="271"/>
      <c r="H21" s="149">
        <v>0</v>
      </c>
      <c r="I21" s="271">
        <v>142847550</v>
      </c>
      <c r="J21" s="271"/>
    </row>
    <row r="22" spans="1:10" ht="15.75" customHeight="1">
      <c r="A22" s="269" t="s">
        <v>194</v>
      </c>
      <c r="B22" s="269"/>
      <c r="C22" s="270" t="s">
        <v>195</v>
      </c>
      <c r="D22" s="270"/>
      <c r="E22" s="271">
        <v>98381700</v>
      </c>
      <c r="F22" s="271"/>
      <c r="G22" s="271"/>
      <c r="H22" s="149">
        <v>0</v>
      </c>
      <c r="I22" s="271">
        <v>98381700</v>
      </c>
      <c r="J22" s="271"/>
    </row>
    <row r="23" spans="1:10" ht="15.75" customHeight="1">
      <c r="A23" s="269" t="s">
        <v>196</v>
      </c>
      <c r="B23" s="269"/>
      <c r="C23" s="270" t="s">
        <v>197</v>
      </c>
      <c r="D23" s="270"/>
      <c r="E23" s="271">
        <v>47615850</v>
      </c>
      <c r="F23" s="271"/>
      <c r="G23" s="271"/>
      <c r="H23" s="149">
        <v>0</v>
      </c>
      <c r="I23" s="271">
        <v>47615850</v>
      </c>
      <c r="J23" s="271"/>
    </row>
    <row r="24" spans="1:10" ht="15" customHeight="1">
      <c r="A24" s="267" t="s">
        <v>198</v>
      </c>
      <c r="B24" s="267"/>
      <c r="C24" s="268" t="s">
        <v>199</v>
      </c>
      <c r="D24" s="268"/>
      <c r="E24" s="265">
        <v>224567784</v>
      </c>
      <c r="F24" s="265"/>
      <c r="G24" s="265"/>
      <c r="H24" s="148">
        <v>0</v>
      </c>
      <c r="I24" s="265">
        <v>224567784</v>
      </c>
      <c r="J24" s="265"/>
    </row>
    <row r="25" spans="1:11" ht="15.75" customHeight="1">
      <c r="A25" s="269" t="s">
        <v>198</v>
      </c>
      <c r="B25" s="269"/>
      <c r="C25" s="270" t="s">
        <v>200</v>
      </c>
      <c r="D25" s="270"/>
      <c r="E25" s="271">
        <v>224567784</v>
      </c>
      <c r="F25" s="271"/>
      <c r="G25" s="271"/>
      <c r="H25" s="149">
        <v>0</v>
      </c>
      <c r="I25" s="271">
        <v>224567784</v>
      </c>
      <c r="J25" s="271"/>
      <c r="K25" s="8">
        <f>I25/1000</f>
        <v>224567.784</v>
      </c>
    </row>
    <row r="26" spans="1:11" ht="15" customHeight="1">
      <c r="A26" s="267" t="s">
        <v>201</v>
      </c>
      <c r="B26" s="267"/>
      <c r="C26" s="268" t="s">
        <v>202</v>
      </c>
      <c r="D26" s="268"/>
      <c r="E26" s="265">
        <v>1676304284</v>
      </c>
      <c r="F26" s="265"/>
      <c r="G26" s="265"/>
      <c r="H26" s="148">
        <v>0</v>
      </c>
      <c r="I26" s="265">
        <v>1676304284</v>
      </c>
      <c r="J26" s="265"/>
      <c r="K26" s="8">
        <f>(I28+I29+53704700)/1000</f>
        <v>1493399.075</v>
      </c>
    </row>
    <row r="27" spans="1:10" ht="16.5" customHeight="1">
      <c r="A27" s="269" t="s">
        <v>203</v>
      </c>
      <c r="B27" s="269"/>
      <c r="C27" s="270" t="s">
        <v>204</v>
      </c>
      <c r="D27" s="270"/>
      <c r="E27" s="271">
        <v>236609909</v>
      </c>
      <c r="F27" s="271"/>
      <c r="G27" s="271"/>
      <c r="H27" s="149">
        <v>0</v>
      </c>
      <c r="I27" s="271">
        <v>236609909</v>
      </c>
      <c r="J27" s="271"/>
    </row>
    <row r="28" spans="1:10" ht="15.75" customHeight="1">
      <c r="A28" s="269" t="s">
        <v>205</v>
      </c>
      <c r="B28" s="269"/>
      <c r="C28" s="270" t="s">
        <v>206</v>
      </c>
      <c r="D28" s="270"/>
      <c r="E28" s="271">
        <v>734875359</v>
      </c>
      <c r="F28" s="271"/>
      <c r="G28" s="271"/>
      <c r="H28" s="149">
        <v>0</v>
      </c>
      <c r="I28" s="271">
        <v>734875359</v>
      </c>
      <c r="J28" s="271"/>
    </row>
    <row r="29" spans="1:10" ht="15.75" customHeight="1">
      <c r="A29" s="269" t="s">
        <v>207</v>
      </c>
      <c r="B29" s="269"/>
      <c r="C29" s="270" t="s">
        <v>208</v>
      </c>
      <c r="D29" s="270"/>
      <c r="E29" s="271">
        <v>704819016</v>
      </c>
      <c r="F29" s="271"/>
      <c r="G29" s="271"/>
      <c r="H29" s="149">
        <v>0</v>
      </c>
      <c r="I29" s="271">
        <v>704819016</v>
      </c>
      <c r="J29" s="271"/>
    </row>
    <row r="30" spans="1:11" ht="15" customHeight="1">
      <c r="A30" s="267" t="s">
        <v>209</v>
      </c>
      <c r="B30" s="267"/>
      <c r="C30" s="268" t="s">
        <v>210</v>
      </c>
      <c r="D30" s="268"/>
      <c r="E30" s="265">
        <v>1795399587</v>
      </c>
      <c r="F30" s="265"/>
      <c r="G30" s="265"/>
      <c r="H30" s="148">
        <v>0</v>
      </c>
      <c r="I30" s="265">
        <v>1795399587</v>
      </c>
      <c r="J30" s="265"/>
      <c r="K30" s="8">
        <f>(I30+166471909)/1000</f>
        <v>1961871.496</v>
      </c>
    </row>
    <row r="31" spans="1:13" ht="15.75" customHeight="1">
      <c r="A31" s="269" t="s">
        <v>211</v>
      </c>
      <c r="B31" s="269"/>
      <c r="C31" s="270" t="s">
        <v>210</v>
      </c>
      <c r="D31" s="270"/>
      <c r="E31" s="271">
        <v>1795399587</v>
      </c>
      <c r="F31" s="271"/>
      <c r="G31" s="271"/>
      <c r="H31" s="149">
        <v>0</v>
      </c>
      <c r="I31" s="271">
        <v>1795399587</v>
      </c>
      <c r="J31" s="271"/>
      <c r="M31" s="8">
        <f>I31-369262159</f>
        <v>1426137428</v>
      </c>
    </row>
    <row r="32" spans="1:10" ht="15" customHeight="1">
      <c r="A32" s="267" t="s">
        <v>212</v>
      </c>
      <c r="B32" s="267"/>
      <c r="C32" s="268" t="s">
        <v>213</v>
      </c>
      <c r="D32" s="268"/>
      <c r="E32" s="265">
        <v>3302623510</v>
      </c>
      <c r="F32" s="265"/>
      <c r="G32" s="265"/>
      <c r="H32" s="148">
        <v>0</v>
      </c>
      <c r="I32" s="265">
        <v>3302623510</v>
      </c>
      <c r="J32" s="265"/>
    </row>
    <row r="33" spans="1:11" ht="16.5" customHeight="1">
      <c r="A33" s="269" t="s">
        <v>214</v>
      </c>
      <c r="B33" s="269"/>
      <c r="C33" s="270" t="s">
        <v>215</v>
      </c>
      <c r="D33" s="270"/>
      <c r="E33" s="271">
        <v>3302623510</v>
      </c>
      <c r="F33" s="271"/>
      <c r="G33" s="271"/>
      <c r="H33" s="149">
        <v>0</v>
      </c>
      <c r="I33" s="271">
        <v>3302623510</v>
      </c>
      <c r="J33" s="271"/>
      <c r="K33" s="8">
        <f>(I33-H15)/1000</f>
        <v>1002396.51</v>
      </c>
    </row>
    <row r="34" spans="1:11" ht="15" customHeight="1">
      <c r="A34" s="267" t="s">
        <v>216</v>
      </c>
      <c r="B34" s="267"/>
      <c r="C34" s="268" t="s">
        <v>217</v>
      </c>
      <c r="D34" s="268"/>
      <c r="E34" s="265">
        <v>1122486997</v>
      </c>
      <c r="F34" s="265"/>
      <c r="G34" s="265"/>
      <c r="H34" s="148">
        <v>0</v>
      </c>
      <c r="I34" s="265">
        <v>1122486997</v>
      </c>
      <c r="J34" s="265"/>
      <c r="K34" s="8">
        <f>(I35+I37+71790178)/1000</f>
        <v>646756.43</v>
      </c>
    </row>
    <row r="35" spans="1:10" ht="15.75" customHeight="1">
      <c r="A35" s="269" t="s">
        <v>218</v>
      </c>
      <c r="B35" s="269"/>
      <c r="C35" s="270" t="s">
        <v>219</v>
      </c>
      <c r="D35" s="270"/>
      <c r="E35" s="271">
        <v>361119934</v>
      </c>
      <c r="F35" s="271"/>
      <c r="G35" s="271"/>
      <c r="H35" s="149">
        <v>0</v>
      </c>
      <c r="I35" s="271">
        <v>361119934</v>
      </c>
      <c r="J35" s="271"/>
    </row>
    <row r="36" spans="1:11" ht="15.75" customHeight="1">
      <c r="A36" s="269" t="s">
        <v>220</v>
      </c>
      <c r="B36" s="269"/>
      <c r="C36" s="270" t="s">
        <v>221</v>
      </c>
      <c r="D36" s="270"/>
      <c r="E36" s="271">
        <v>547520745</v>
      </c>
      <c r="F36" s="271"/>
      <c r="G36" s="271"/>
      <c r="H36" s="149">
        <v>0</v>
      </c>
      <c r="I36" s="271">
        <v>547520745</v>
      </c>
      <c r="J36" s="271"/>
      <c r="K36" s="8">
        <f>I36/1000</f>
        <v>547520.745</v>
      </c>
    </row>
    <row r="37" spans="1:10" ht="15.75" customHeight="1">
      <c r="A37" s="269" t="s">
        <v>222</v>
      </c>
      <c r="B37" s="269"/>
      <c r="C37" s="270" t="s">
        <v>223</v>
      </c>
      <c r="D37" s="270"/>
      <c r="E37" s="271">
        <v>213846318</v>
      </c>
      <c r="F37" s="271"/>
      <c r="G37" s="271"/>
      <c r="H37" s="149">
        <v>0</v>
      </c>
      <c r="I37" s="271">
        <v>213846318</v>
      </c>
      <c r="J37" s="271"/>
    </row>
    <row r="38" spans="1:11" ht="15" customHeight="1">
      <c r="A38" s="267" t="s">
        <v>224</v>
      </c>
      <c r="B38" s="267"/>
      <c r="C38" s="268" t="s">
        <v>225</v>
      </c>
      <c r="D38" s="268"/>
      <c r="E38" s="265">
        <v>221812167</v>
      </c>
      <c r="F38" s="265"/>
      <c r="G38" s="265"/>
      <c r="H38" s="148">
        <v>0</v>
      </c>
      <c r="I38" s="265">
        <v>221812167</v>
      </c>
      <c r="J38" s="265"/>
      <c r="K38" s="8">
        <f>(I27+I39+2000000)/1000</f>
        <v>460422.076</v>
      </c>
    </row>
    <row r="39" spans="1:10" ht="16.5" customHeight="1">
      <c r="A39" s="269" t="s">
        <v>226</v>
      </c>
      <c r="B39" s="269"/>
      <c r="C39" s="270" t="s">
        <v>227</v>
      </c>
      <c r="D39" s="270"/>
      <c r="E39" s="271">
        <v>221812167</v>
      </c>
      <c r="F39" s="271"/>
      <c r="G39" s="271"/>
      <c r="H39" s="149">
        <v>0</v>
      </c>
      <c r="I39" s="271">
        <v>221812167</v>
      </c>
      <c r="J39" s="271"/>
    </row>
    <row r="40" spans="1:10" ht="15" customHeight="1">
      <c r="A40" s="264" t="s">
        <v>228</v>
      </c>
      <c r="B40" s="264"/>
      <c r="C40" s="264"/>
      <c r="D40" s="264"/>
      <c r="E40" s="265">
        <v>23376799937</v>
      </c>
      <c r="F40" s="265"/>
      <c r="G40" s="265"/>
      <c r="H40" s="148">
        <v>2300227000</v>
      </c>
      <c r="I40" s="265">
        <v>21076572937</v>
      </c>
      <c r="J40" s="265"/>
    </row>
    <row r="41" spans="1:10" ht="16.5" customHeight="1">
      <c r="A41" s="263" t="s">
        <v>229</v>
      </c>
      <c r="B41" s="263"/>
      <c r="C41" s="263"/>
      <c r="D41" s="263"/>
      <c r="E41" s="263"/>
      <c r="F41" s="263"/>
      <c r="G41" s="263"/>
      <c r="H41" s="263"/>
      <c r="I41" s="263"/>
      <c r="J41" s="263"/>
    </row>
    <row r="42" spans="1:10" ht="16.5" customHeight="1">
      <c r="A42" s="266" t="s">
        <v>230</v>
      </c>
      <c r="B42" s="266"/>
      <c r="C42" s="266"/>
      <c r="D42" s="266"/>
      <c r="E42" s="266"/>
      <c r="F42" s="266"/>
      <c r="G42" s="266" t="s">
        <v>231</v>
      </c>
      <c r="H42" s="266"/>
      <c r="I42" s="266"/>
      <c r="J42" s="266"/>
    </row>
    <row r="43" spans="1:10" ht="1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16.5" customHeight="1">
      <c r="A44" s="263" t="s">
        <v>232</v>
      </c>
      <c r="B44" s="263"/>
      <c r="C44" s="263"/>
      <c r="D44" s="263"/>
      <c r="E44" s="263"/>
      <c r="F44" s="263"/>
      <c r="G44" s="263"/>
      <c r="H44" s="263"/>
      <c r="I44" s="263"/>
      <c r="J44" s="150">
        <v>1</v>
      </c>
    </row>
  </sheetData>
  <sheetProtection/>
  <mergeCells count="126">
    <mergeCell ref="A1:J2"/>
    <mergeCell ref="B3:E3"/>
    <mergeCell ref="A4:J4"/>
    <mergeCell ref="A5:J5"/>
    <mergeCell ref="A6:J6"/>
    <mergeCell ref="A8:J8"/>
    <mergeCell ref="A10:J10"/>
    <mergeCell ref="A12:B12"/>
    <mergeCell ref="C12:D12"/>
    <mergeCell ref="E12:J12"/>
    <mergeCell ref="A13:B13"/>
    <mergeCell ref="C13:D13"/>
    <mergeCell ref="E13:G13"/>
    <mergeCell ref="I13:J13"/>
    <mergeCell ref="A14:B14"/>
    <mergeCell ref="C14:D14"/>
    <mergeCell ref="E14:G14"/>
    <mergeCell ref="I14:J14"/>
    <mergeCell ref="A15:B15"/>
    <mergeCell ref="C15:D15"/>
    <mergeCell ref="E15:G15"/>
    <mergeCell ref="I15:J15"/>
    <mergeCell ref="A16:B16"/>
    <mergeCell ref="C16:D16"/>
    <mergeCell ref="E16:G16"/>
    <mergeCell ref="I16:J16"/>
    <mergeCell ref="A17:B17"/>
    <mergeCell ref="C17:D17"/>
    <mergeCell ref="E17:G17"/>
    <mergeCell ref="I17:J17"/>
    <mergeCell ref="A18:B18"/>
    <mergeCell ref="C18:D18"/>
    <mergeCell ref="E18:G18"/>
    <mergeCell ref="I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B21"/>
    <mergeCell ref="C21:D21"/>
    <mergeCell ref="E21:G21"/>
    <mergeCell ref="I21:J21"/>
    <mergeCell ref="A22:B22"/>
    <mergeCell ref="C22:D22"/>
    <mergeCell ref="E22:G22"/>
    <mergeCell ref="I22:J22"/>
    <mergeCell ref="A23:B23"/>
    <mergeCell ref="C23:D23"/>
    <mergeCell ref="E23:G23"/>
    <mergeCell ref="I23:J23"/>
    <mergeCell ref="A24:B24"/>
    <mergeCell ref="C24:D24"/>
    <mergeCell ref="E24:G24"/>
    <mergeCell ref="I24:J24"/>
    <mergeCell ref="A25:B25"/>
    <mergeCell ref="C25:D25"/>
    <mergeCell ref="E25:G25"/>
    <mergeCell ref="I25:J25"/>
    <mergeCell ref="A26:B26"/>
    <mergeCell ref="C26:D26"/>
    <mergeCell ref="E26:G26"/>
    <mergeCell ref="I26:J26"/>
    <mergeCell ref="A27:B27"/>
    <mergeCell ref="C27:D27"/>
    <mergeCell ref="E27:G27"/>
    <mergeCell ref="I27:J27"/>
    <mergeCell ref="A28:B28"/>
    <mergeCell ref="C28:D28"/>
    <mergeCell ref="E28:G28"/>
    <mergeCell ref="I28:J28"/>
    <mergeCell ref="A29:B29"/>
    <mergeCell ref="C29:D29"/>
    <mergeCell ref="E29:G29"/>
    <mergeCell ref="I29:J29"/>
    <mergeCell ref="A30:B30"/>
    <mergeCell ref="C30:D30"/>
    <mergeCell ref="E30:G30"/>
    <mergeCell ref="I30:J30"/>
    <mergeCell ref="A31:B31"/>
    <mergeCell ref="C31:D31"/>
    <mergeCell ref="E31:G31"/>
    <mergeCell ref="I31:J31"/>
    <mergeCell ref="A32:B32"/>
    <mergeCell ref="C32:D32"/>
    <mergeCell ref="E32:G32"/>
    <mergeCell ref="I32:J32"/>
    <mergeCell ref="A33:B33"/>
    <mergeCell ref="C33:D33"/>
    <mergeCell ref="E33:G33"/>
    <mergeCell ref="I33:J33"/>
    <mergeCell ref="A34:B34"/>
    <mergeCell ref="C34:D34"/>
    <mergeCell ref="E34:G34"/>
    <mergeCell ref="I34:J34"/>
    <mergeCell ref="A35:B35"/>
    <mergeCell ref="C35:D35"/>
    <mergeCell ref="E35:G35"/>
    <mergeCell ref="I35:J35"/>
    <mergeCell ref="A36:B36"/>
    <mergeCell ref="C36:D36"/>
    <mergeCell ref="E36:G36"/>
    <mergeCell ref="I36:J36"/>
    <mergeCell ref="A37:B37"/>
    <mergeCell ref="C37:D37"/>
    <mergeCell ref="E37:G37"/>
    <mergeCell ref="I37:J37"/>
    <mergeCell ref="A38:B38"/>
    <mergeCell ref="C38:D38"/>
    <mergeCell ref="E38:G38"/>
    <mergeCell ref="I38:J38"/>
    <mergeCell ref="A39:B39"/>
    <mergeCell ref="C39:D39"/>
    <mergeCell ref="E39:G39"/>
    <mergeCell ref="I39:J39"/>
    <mergeCell ref="A44:I44"/>
    <mergeCell ref="A40:D40"/>
    <mergeCell ref="E40:G40"/>
    <mergeCell ref="I40:J40"/>
    <mergeCell ref="A41:J41"/>
    <mergeCell ref="A42:C42"/>
    <mergeCell ref="D42:F42"/>
    <mergeCell ref="G42:J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3">
      <selection activeCell="C15" sqref="C15:G15"/>
    </sheetView>
  </sheetViews>
  <sheetFormatPr defaultColWidth="9.00390625" defaultRowHeight="12.75"/>
  <cols>
    <col min="1" max="1" width="3.375" style="9" customWidth="1"/>
    <col min="2" max="2" width="2.00390625" style="9" customWidth="1"/>
    <col min="3" max="3" width="27.875" style="9" customWidth="1"/>
    <col min="4" max="4" width="21.00390625" style="9" customWidth="1"/>
    <col min="5" max="5" width="10.875" style="9" customWidth="1"/>
    <col min="6" max="6" width="1.25" style="9" customWidth="1"/>
    <col min="7" max="7" width="4.375" style="9" customWidth="1"/>
    <col min="8" max="8" width="14.625" style="9" customWidth="1"/>
    <col min="9" max="9" width="9.375" style="9" customWidth="1"/>
    <col min="10" max="10" width="4.875" style="9" customWidth="1"/>
    <col min="11" max="11" width="12.75390625" style="9" bestFit="1" customWidth="1"/>
    <col min="12" max="16384" width="9.125" style="9" customWidth="1"/>
  </cols>
  <sheetData>
    <row r="1" spans="1:10" ht="16.5" customHeight="1">
      <c r="A1" s="285"/>
      <c r="B1" s="280" t="s">
        <v>170</v>
      </c>
      <c r="C1" s="280"/>
      <c r="D1" s="280"/>
      <c r="E1" s="280"/>
      <c r="F1" s="146"/>
      <c r="G1" s="146"/>
      <c r="H1" s="146"/>
      <c r="I1" s="146"/>
      <c r="J1" s="146"/>
    </row>
    <row r="2" spans="1:10" ht="1.5" customHeight="1">
      <c r="A2" s="285"/>
      <c r="B2" s="280"/>
      <c r="C2" s="280"/>
      <c r="D2" s="280"/>
      <c r="E2" s="280"/>
      <c r="F2" s="146"/>
      <c r="G2" s="146"/>
      <c r="H2" s="146"/>
      <c r="I2" s="146"/>
      <c r="J2" s="146"/>
    </row>
    <row r="3" spans="1:10" ht="18" customHeight="1">
      <c r="A3" s="146"/>
      <c r="B3" s="282" t="s">
        <v>171</v>
      </c>
      <c r="C3" s="282"/>
      <c r="D3" s="282"/>
      <c r="E3" s="282"/>
      <c r="F3" s="146"/>
      <c r="G3" s="146"/>
      <c r="H3" s="146"/>
      <c r="I3" s="146"/>
      <c r="J3" s="146"/>
    </row>
    <row r="4" spans="1:10" ht="26.25" customHeight="1">
      <c r="A4" s="283" t="s">
        <v>172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6.5" customHeight="1">
      <c r="A5" s="284" t="s">
        <v>233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6.5" customHeight="1">
      <c r="A6" s="284" t="s">
        <v>174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6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6.5" customHeight="1">
      <c r="A8" s="284" t="s">
        <v>175</v>
      </c>
      <c r="B8" s="284"/>
      <c r="C8" s="284"/>
      <c r="D8" s="284"/>
      <c r="E8" s="284"/>
      <c r="F8" s="284"/>
      <c r="G8" s="284"/>
      <c r="H8" s="284"/>
      <c r="I8" s="284"/>
      <c r="J8" s="284"/>
    </row>
    <row r="9" spans="1:10" ht="7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6.5" customHeight="1">
      <c r="A10" s="274" t="s">
        <v>176</v>
      </c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7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6.5" customHeight="1">
      <c r="A12" s="275"/>
      <c r="B12" s="275"/>
      <c r="C12" s="276"/>
      <c r="D12" s="276"/>
      <c r="E12" s="277" t="s">
        <v>177</v>
      </c>
      <c r="F12" s="277"/>
      <c r="G12" s="277"/>
      <c r="H12" s="277"/>
      <c r="I12" s="277"/>
      <c r="J12" s="277"/>
    </row>
    <row r="13" spans="1:10" ht="24.75" customHeight="1">
      <c r="A13" s="278" t="s">
        <v>178</v>
      </c>
      <c r="B13" s="278"/>
      <c r="C13" s="279" t="s">
        <v>179</v>
      </c>
      <c r="D13" s="279"/>
      <c r="E13" s="279" t="s">
        <v>180</v>
      </c>
      <c r="F13" s="279"/>
      <c r="G13" s="279"/>
      <c r="H13" s="147" t="s">
        <v>181</v>
      </c>
      <c r="I13" s="279" t="s">
        <v>182</v>
      </c>
      <c r="J13" s="279"/>
    </row>
    <row r="14" spans="1:10" ht="15.75" customHeight="1">
      <c r="A14" s="267" t="s">
        <v>169</v>
      </c>
      <c r="B14" s="267"/>
      <c r="C14" s="268"/>
      <c r="D14" s="268"/>
      <c r="E14" s="265">
        <v>16940000</v>
      </c>
      <c r="F14" s="265"/>
      <c r="G14" s="265"/>
      <c r="H14" s="148">
        <v>0</v>
      </c>
      <c r="I14" s="265">
        <v>16940000</v>
      </c>
      <c r="J14" s="265"/>
    </row>
    <row r="15" spans="1:10" ht="15.75" customHeight="1">
      <c r="A15" s="269"/>
      <c r="B15" s="269"/>
      <c r="C15" s="272" t="s">
        <v>243</v>
      </c>
      <c r="D15" s="272"/>
      <c r="E15" s="273">
        <v>16940000</v>
      </c>
      <c r="F15" s="273"/>
      <c r="G15" s="273"/>
      <c r="H15" s="149">
        <v>0</v>
      </c>
      <c r="I15" s="271">
        <v>16940000</v>
      </c>
      <c r="J15" s="271"/>
    </row>
    <row r="16" spans="1:11" ht="15" customHeight="1">
      <c r="A16" s="267" t="s">
        <v>183</v>
      </c>
      <c r="B16" s="267"/>
      <c r="C16" s="268" t="s">
        <v>184</v>
      </c>
      <c r="D16" s="268"/>
      <c r="E16" s="265">
        <v>174451489</v>
      </c>
      <c r="F16" s="265"/>
      <c r="G16" s="265"/>
      <c r="H16" s="148">
        <v>0</v>
      </c>
      <c r="I16" s="265">
        <v>174451489</v>
      </c>
      <c r="J16" s="265"/>
      <c r="K16" s="8">
        <f>I16/1000</f>
        <v>174451.489</v>
      </c>
    </row>
    <row r="17" spans="1:10" ht="15.75" customHeight="1">
      <c r="A17" s="269" t="s">
        <v>183</v>
      </c>
      <c r="B17" s="269"/>
      <c r="C17" s="270" t="s">
        <v>72</v>
      </c>
      <c r="D17" s="270"/>
      <c r="E17" s="271">
        <v>174451489</v>
      </c>
      <c r="F17" s="271"/>
      <c r="G17" s="271"/>
      <c r="H17" s="149">
        <v>0</v>
      </c>
      <c r="I17" s="271">
        <v>174451489</v>
      </c>
      <c r="J17" s="271"/>
    </row>
    <row r="18" spans="1:10" ht="15" customHeight="1">
      <c r="A18" s="267" t="s">
        <v>187</v>
      </c>
      <c r="B18" s="267"/>
      <c r="C18" s="268" t="s">
        <v>188</v>
      </c>
      <c r="D18" s="268"/>
      <c r="E18" s="265">
        <v>5129188253</v>
      </c>
      <c r="F18" s="265"/>
      <c r="G18" s="265"/>
      <c r="H18" s="148">
        <v>0</v>
      </c>
      <c r="I18" s="265">
        <v>5129188253</v>
      </c>
      <c r="J18" s="265"/>
    </row>
    <row r="19" spans="1:11" ht="15.75" customHeight="1">
      <c r="A19" s="269" t="s">
        <v>187</v>
      </c>
      <c r="B19" s="269"/>
      <c r="C19" s="270" t="s">
        <v>189</v>
      </c>
      <c r="D19" s="270"/>
      <c r="E19" s="271">
        <v>3882162986</v>
      </c>
      <c r="F19" s="271"/>
      <c r="G19" s="271"/>
      <c r="H19" s="149">
        <v>0</v>
      </c>
      <c r="I19" s="271">
        <v>3882162986</v>
      </c>
      <c r="J19" s="271"/>
      <c r="K19" s="8">
        <f>I19/1000</f>
        <v>3882162.986</v>
      </c>
    </row>
    <row r="20" spans="1:10" ht="15.75" customHeight="1">
      <c r="A20" s="269" t="s">
        <v>234</v>
      </c>
      <c r="B20" s="269"/>
      <c r="C20" s="270" t="s">
        <v>235</v>
      </c>
      <c r="D20" s="270"/>
      <c r="E20" s="271">
        <v>92550000</v>
      </c>
      <c r="F20" s="271"/>
      <c r="G20" s="271"/>
      <c r="H20" s="149">
        <v>0</v>
      </c>
      <c r="I20" s="271">
        <v>92550000</v>
      </c>
      <c r="J20" s="271"/>
    </row>
    <row r="21" spans="1:11" ht="16.5" customHeight="1">
      <c r="A21" s="269" t="s">
        <v>190</v>
      </c>
      <c r="B21" s="269"/>
      <c r="C21" s="270" t="s">
        <v>191</v>
      </c>
      <c r="D21" s="270"/>
      <c r="E21" s="271">
        <v>185856120</v>
      </c>
      <c r="F21" s="271"/>
      <c r="G21" s="271"/>
      <c r="H21" s="149">
        <v>0</v>
      </c>
      <c r="I21" s="271">
        <v>185856120</v>
      </c>
      <c r="J21" s="271"/>
      <c r="K21" s="8">
        <f>(I21+I22+I23+I24)/1000</f>
        <v>249808.16</v>
      </c>
    </row>
    <row r="22" spans="1:10" ht="15.75" customHeight="1">
      <c r="A22" s="269" t="s">
        <v>192</v>
      </c>
      <c r="B22" s="269"/>
      <c r="C22" s="270" t="s">
        <v>193</v>
      </c>
      <c r="D22" s="270"/>
      <c r="E22" s="271">
        <v>30976020</v>
      </c>
      <c r="F22" s="271"/>
      <c r="G22" s="271"/>
      <c r="H22" s="149">
        <v>0</v>
      </c>
      <c r="I22" s="271">
        <v>30976020</v>
      </c>
      <c r="J22" s="271"/>
    </row>
    <row r="23" spans="1:10" ht="15.75" customHeight="1">
      <c r="A23" s="269" t="s">
        <v>194</v>
      </c>
      <c r="B23" s="269"/>
      <c r="C23" s="270" t="s">
        <v>195</v>
      </c>
      <c r="D23" s="270"/>
      <c r="E23" s="271">
        <v>22650680</v>
      </c>
      <c r="F23" s="271"/>
      <c r="G23" s="271"/>
      <c r="H23" s="149">
        <v>0</v>
      </c>
      <c r="I23" s="271">
        <v>22650680</v>
      </c>
      <c r="J23" s="271"/>
    </row>
    <row r="24" spans="1:10" ht="15.75" customHeight="1">
      <c r="A24" s="269" t="s">
        <v>196</v>
      </c>
      <c r="B24" s="269"/>
      <c r="C24" s="270" t="s">
        <v>197</v>
      </c>
      <c r="D24" s="270"/>
      <c r="E24" s="271">
        <v>10325340</v>
      </c>
      <c r="F24" s="271"/>
      <c r="G24" s="271"/>
      <c r="H24" s="149">
        <v>0</v>
      </c>
      <c r="I24" s="271">
        <v>10325340</v>
      </c>
      <c r="J24" s="271"/>
    </row>
    <row r="25" spans="1:11" ht="15.75" customHeight="1">
      <c r="A25" s="269" t="s">
        <v>236</v>
      </c>
      <c r="B25" s="269"/>
      <c r="C25" s="270" t="s">
        <v>237</v>
      </c>
      <c r="D25" s="270"/>
      <c r="E25" s="271">
        <v>904667107</v>
      </c>
      <c r="F25" s="271"/>
      <c r="G25" s="271"/>
      <c r="H25" s="149">
        <v>0</v>
      </c>
      <c r="I25" s="271">
        <v>904667107</v>
      </c>
      <c r="J25" s="271"/>
      <c r="K25" s="8">
        <f>I25/1000</f>
        <v>904667.107</v>
      </c>
    </row>
    <row r="26" spans="1:11" ht="15" customHeight="1">
      <c r="A26" s="267" t="s">
        <v>198</v>
      </c>
      <c r="B26" s="267"/>
      <c r="C26" s="268" t="s">
        <v>199</v>
      </c>
      <c r="D26" s="268"/>
      <c r="E26" s="265">
        <v>668801316</v>
      </c>
      <c r="F26" s="265"/>
      <c r="G26" s="265"/>
      <c r="H26" s="148">
        <v>0</v>
      </c>
      <c r="I26" s="265">
        <v>668801316</v>
      </c>
      <c r="J26" s="265"/>
      <c r="K26" s="8">
        <f>I26/1000</f>
        <v>668801.316</v>
      </c>
    </row>
    <row r="27" spans="1:10" ht="16.5" customHeight="1">
      <c r="A27" s="269" t="s">
        <v>198</v>
      </c>
      <c r="B27" s="269"/>
      <c r="C27" s="270" t="s">
        <v>200</v>
      </c>
      <c r="D27" s="270"/>
      <c r="E27" s="271">
        <v>668801316</v>
      </c>
      <c r="F27" s="271"/>
      <c r="G27" s="271"/>
      <c r="H27" s="149">
        <v>0</v>
      </c>
      <c r="I27" s="271">
        <v>668801316</v>
      </c>
      <c r="J27" s="271"/>
    </row>
    <row r="28" spans="1:11" ht="15" customHeight="1">
      <c r="A28" s="267" t="s">
        <v>201</v>
      </c>
      <c r="B28" s="267"/>
      <c r="C28" s="268" t="s">
        <v>202</v>
      </c>
      <c r="D28" s="268"/>
      <c r="E28" s="265">
        <v>502431512</v>
      </c>
      <c r="F28" s="265"/>
      <c r="G28" s="265"/>
      <c r="H28" s="148">
        <v>0</v>
      </c>
      <c r="I28" s="265">
        <v>502431512</v>
      </c>
      <c r="J28" s="265"/>
      <c r="K28" s="8">
        <f>I28/1000</f>
        <v>502431.512</v>
      </c>
    </row>
    <row r="29" spans="1:10" ht="15.75" customHeight="1">
      <c r="A29" s="269" t="s">
        <v>205</v>
      </c>
      <c r="B29" s="269"/>
      <c r="C29" s="270" t="s">
        <v>206</v>
      </c>
      <c r="D29" s="270"/>
      <c r="E29" s="271">
        <v>192106577</v>
      </c>
      <c r="F29" s="271"/>
      <c r="G29" s="271"/>
      <c r="H29" s="149">
        <v>0</v>
      </c>
      <c r="I29" s="271">
        <v>192106577</v>
      </c>
      <c r="J29" s="271"/>
    </row>
    <row r="30" spans="1:10" ht="15.75" customHeight="1">
      <c r="A30" s="269" t="s">
        <v>207</v>
      </c>
      <c r="B30" s="269"/>
      <c r="C30" s="270" t="s">
        <v>208</v>
      </c>
      <c r="D30" s="270"/>
      <c r="E30" s="271">
        <v>310324935</v>
      </c>
      <c r="F30" s="271"/>
      <c r="G30" s="271"/>
      <c r="H30" s="149">
        <v>0</v>
      </c>
      <c r="I30" s="271">
        <v>310324935</v>
      </c>
      <c r="J30" s="271"/>
    </row>
    <row r="31" spans="1:11" ht="15" customHeight="1">
      <c r="A31" s="267" t="s">
        <v>209</v>
      </c>
      <c r="B31" s="267"/>
      <c r="C31" s="268" t="s">
        <v>210</v>
      </c>
      <c r="D31" s="268"/>
      <c r="E31" s="265">
        <v>1585817495</v>
      </c>
      <c r="F31" s="265"/>
      <c r="G31" s="265"/>
      <c r="H31" s="148">
        <v>22000</v>
      </c>
      <c r="I31" s="265">
        <v>1585795495</v>
      </c>
      <c r="J31" s="265"/>
      <c r="K31" s="8">
        <f>(I31+I20+140000)/1000</f>
        <v>1678485.495</v>
      </c>
    </row>
    <row r="32" spans="1:10" ht="15.75" customHeight="1">
      <c r="A32" s="269" t="s">
        <v>211</v>
      </c>
      <c r="B32" s="269"/>
      <c r="C32" s="270" t="s">
        <v>210</v>
      </c>
      <c r="D32" s="270"/>
      <c r="E32" s="271">
        <v>1585817495</v>
      </c>
      <c r="F32" s="271"/>
      <c r="G32" s="271"/>
      <c r="H32" s="149">
        <v>22000</v>
      </c>
      <c r="I32" s="271">
        <v>1585795495</v>
      </c>
      <c r="J32" s="271"/>
    </row>
    <row r="33" spans="1:11" ht="15.75" customHeight="1">
      <c r="A33" s="267" t="s">
        <v>212</v>
      </c>
      <c r="B33" s="267"/>
      <c r="C33" s="268" t="s">
        <v>213</v>
      </c>
      <c r="D33" s="268"/>
      <c r="E33" s="265">
        <v>9576182</v>
      </c>
      <c r="F33" s="265"/>
      <c r="G33" s="265"/>
      <c r="H33" s="148">
        <v>0</v>
      </c>
      <c r="I33" s="265">
        <v>9576182</v>
      </c>
      <c r="J33" s="265"/>
      <c r="K33" s="8">
        <f>(I33+16000000)/1000</f>
        <v>25576.182</v>
      </c>
    </row>
    <row r="34" spans="1:10" ht="15.75" customHeight="1">
      <c r="A34" s="269" t="s">
        <v>214</v>
      </c>
      <c r="B34" s="269"/>
      <c r="C34" s="270" t="s">
        <v>215</v>
      </c>
      <c r="D34" s="270"/>
      <c r="E34" s="271">
        <v>9576182</v>
      </c>
      <c r="F34" s="271"/>
      <c r="G34" s="271"/>
      <c r="H34" s="149">
        <v>0</v>
      </c>
      <c r="I34" s="271">
        <v>9576182</v>
      </c>
      <c r="J34" s="271"/>
    </row>
    <row r="35" spans="1:11" ht="15" customHeight="1">
      <c r="A35" s="267" t="s">
        <v>216</v>
      </c>
      <c r="B35" s="267"/>
      <c r="C35" s="268" t="s">
        <v>217</v>
      </c>
      <c r="D35" s="268"/>
      <c r="E35" s="265">
        <v>60115352</v>
      </c>
      <c r="F35" s="265"/>
      <c r="G35" s="265"/>
      <c r="H35" s="148">
        <v>0</v>
      </c>
      <c r="I35" s="265">
        <v>60115352</v>
      </c>
      <c r="J35" s="265"/>
      <c r="K35" s="8">
        <f>(I35+800000)/1000</f>
        <v>60915.352</v>
      </c>
    </row>
    <row r="36" spans="1:10" ht="15.75" customHeight="1">
      <c r="A36" s="269" t="s">
        <v>218</v>
      </c>
      <c r="B36" s="269"/>
      <c r="C36" s="270" t="s">
        <v>219</v>
      </c>
      <c r="D36" s="270"/>
      <c r="E36" s="271">
        <v>50910857</v>
      </c>
      <c r="F36" s="271"/>
      <c r="G36" s="271"/>
      <c r="H36" s="149">
        <v>0</v>
      </c>
      <c r="I36" s="271">
        <v>50910857</v>
      </c>
      <c r="J36" s="271"/>
    </row>
    <row r="37" spans="1:10" ht="15.75" customHeight="1">
      <c r="A37" s="269" t="s">
        <v>222</v>
      </c>
      <c r="B37" s="269"/>
      <c r="C37" s="270" t="s">
        <v>223</v>
      </c>
      <c r="D37" s="270"/>
      <c r="E37" s="271">
        <v>9204495</v>
      </c>
      <c r="F37" s="271"/>
      <c r="G37" s="271"/>
      <c r="H37" s="149">
        <v>0</v>
      </c>
      <c r="I37" s="271">
        <v>9204495</v>
      </c>
      <c r="J37" s="271"/>
    </row>
    <row r="38" spans="1:10" ht="15" customHeight="1">
      <c r="A38" s="264" t="s">
        <v>228</v>
      </c>
      <c r="B38" s="264"/>
      <c r="C38" s="264"/>
      <c r="D38" s="264"/>
      <c r="E38" s="265">
        <v>8147321599</v>
      </c>
      <c r="F38" s="265"/>
      <c r="G38" s="265"/>
      <c r="H38" s="148">
        <v>22000</v>
      </c>
      <c r="I38" s="265">
        <v>8147299599</v>
      </c>
      <c r="J38" s="265"/>
    </row>
    <row r="39" spans="1:10" ht="16.5" customHeight="1">
      <c r="A39" s="263" t="s">
        <v>229</v>
      </c>
      <c r="B39" s="263"/>
      <c r="C39" s="263"/>
      <c r="D39" s="263"/>
      <c r="E39" s="263"/>
      <c r="F39" s="263"/>
      <c r="G39" s="263"/>
      <c r="H39" s="263"/>
      <c r="I39" s="263"/>
      <c r="J39" s="263"/>
    </row>
    <row r="40" spans="1:10" ht="17.25" customHeight="1">
      <c r="A40" s="266" t="s">
        <v>230</v>
      </c>
      <c r="B40" s="266"/>
      <c r="C40" s="266"/>
      <c r="D40" s="266"/>
      <c r="E40" s="266"/>
      <c r="F40" s="266"/>
      <c r="G40" s="266" t="s">
        <v>231</v>
      </c>
      <c r="H40" s="266"/>
      <c r="I40" s="266"/>
      <c r="J40" s="266"/>
    </row>
    <row r="41" spans="1:10" ht="0.7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ht="17.25" customHeight="1">
      <c r="A42" s="263" t="s">
        <v>232</v>
      </c>
      <c r="B42" s="263"/>
      <c r="C42" s="263"/>
      <c r="D42" s="263"/>
      <c r="E42" s="263"/>
      <c r="F42" s="263"/>
      <c r="G42" s="263"/>
      <c r="H42" s="263"/>
      <c r="I42" s="263"/>
      <c r="J42" s="150">
        <v>1</v>
      </c>
    </row>
  </sheetData>
  <sheetProtection/>
  <mergeCells count="119">
    <mergeCell ref="A1:A2"/>
    <mergeCell ref="B1:E2"/>
    <mergeCell ref="B3:E3"/>
    <mergeCell ref="A4:J4"/>
    <mergeCell ref="A5:J5"/>
    <mergeCell ref="A6:J6"/>
    <mergeCell ref="A8:J8"/>
    <mergeCell ref="A10:J10"/>
    <mergeCell ref="A12:B12"/>
    <mergeCell ref="C12:D12"/>
    <mergeCell ref="E12:J12"/>
    <mergeCell ref="A13:B13"/>
    <mergeCell ref="C13:D13"/>
    <mergeCell ref="E13:G13"/>
    <mergeCell ref="I13:J13"/>
    <mergeCell ref="A14:B14"/>
    <mergeCell ref="C14:D14"/>
    <mergeCell ref="E14:G14"/>
    <mergeCell ref="I14:J14"/>
    <mergeCell ref="A15:B15"/>
    <mergeCell ref="C15:D15"/>
    <mergeCell ref="E15:G15"/>
    <mergeCell ref="I15:J15"/>
    <mergeCell ref="A16:B16"/>
    <mergeCell ref="C16:D16"/>
    <mergeCell ref="E16:G16"/>
    <mergeCell ref="I16:J16"/>
    <mergeCell ref="A17:B17"/>
    <mergeCell ref="C17:D17"/>
    <mergeCell ref="E17:G17"/>
    <mergeCell ref="I17:J17"/>
    <mergeCell ref="A18:B18"/>
    <mergeCell ref="C18:D18"/>
    <mergeCell ref="E18:G18"/>
    <mergeCell ref="I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B21"/>
    <mergeCell ref="C21:D21"/>
    <mergeCell ref="E21:G21"/>
    <mergeCell ref="I21:J21"/>
    <mergeCell ref="A22:B22"/>
    <mergeCell ref="C22:D22"/>
    <mergeCell ref="E22:G22"/>
    <mergeCell ref="I22:J22"/>
    <mergeCell ref="A23:B23"/>
    <mergeCell ref="C23:D23"/>
    <mergeCell ref="E23:G23"/>
    <mergeCell ref="I23:J23"/>
    <mergeCell ref="A24:B24"/>
    <mergeCell ref="C24:D24"/>
    <mergeCell ref="E24:G24"/>
    <mergeCell ref="I24:J24"/>
    <mergeCell ref="A25:B25"/>
    <mergeCell ref="C25:D25"/>
    <mergeCell ref="E25:G25"/>
    <mergeCell ref="I25:J25"/>
    <mergeCell ref="A26:B26"/>
    <mergeCell ref="C26:D26"/>
    <mergeCell ref="E26:G26"/>
    <mergeCell ref="I26:J26"/>
    <mergeCell ref="A27:B27"/>
    <mergeCell ref="C27:D27"/>
    <mergeCell ref="E27:G27"/>
    <mergeCell ref="I27:J27"/>
    <mergeCell ref="A28:B28"/>
    <mergeCell ref="C28:D28"/>
    <mergeCell ref="E28:G28"/>
    <mergeCell ref="I28:J28"/>
    <mergeCell ref="A29:B29"/>
    <mergeCell ref="C29:D29"/>
    <mergeCell ref="E29:G29"/>
    <mergeCell ref="I29:J29"/>
    <mergeCell ref="A30:B30"/>
    <mergeCell ref="C30:D30"/>
    <mergeCell ref="E30:G30"/>
    <mergeCell ref="I30:J30"/>
    <mergeCell ref="A31:B31"/>
    <mergeCell ref="C31:D31"/>
    <mergeCell ref="E31:G31"/>
    <mergeCell ref="I31:J31"/>
    <mergeCell ref="A32:B32"/>
    <mergeCell ref="C32:D32"/>
    <mergeCell ref="E32:G32"/>
    <mergeCell ref="I32:J32"/>
    <mergeCell ref="A33:B33"/>
    <mergeCell ref="C33:D33"/>
    <mergeCell ref="E33:G33"/>
    <mergeCell ref="I33:J33"/>
    <mergeCell ref="A34:B34"/>
    <mergeCell ref="C34:D34"/>
    <mergeCell ref="E34:G34"/>
    <mergeCell ref="I34:J34"/>
    <mergeCell ref="A35:B35"/>
    <mergeCell ref="C35:D35"/>
    <mergeCell ref="E35:G35"/>
    <mergeCell ref="I35:J35"/>
    <mergeCell ref="A36:B36"/>
    <mergeCell ref="C36:D36"/>
    <mergeCell ref="E36:G36"/>
    <mergeCell ref="I36:J36"/>
    <mergeCell ref="A37:B37"/>
    <mergeCell ref="C37:D37"/>
    <mergeCell ref="E37:G37"/>
    <mergeCell ref="I37:J37"/>
    <mergeCell ref="A42:I42"/>
    <mergeCell ref="A38:D38"/>
    <mergeCell ref="E38:G38"/>
    <mergeCell ref="I38:J38"/>
    <mergeCell ref="A39:J39"/>
    <mergeCell ref="A40:C40"/>
    <mergeCell ref="D40:F40"/>
    <mergeCell ref="G40:J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109MinhKhai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HongHa</dc:creator>
  <cp:keywords/>
  <dc:description/>
  <cp:lastModifiedBy>A</cp:lastModifiedBy>
  <cp:lastPrinted>2018-05-08T00:48:54Z</cp:lastPrinted>
  <dcterms:created xsi:type="dcterms:W3CDTF">2006-10-11T04:21:10Z</dcterms:created>
  <dcterms:modified xsi:type="dcterms:W3CDTF">2018-05-08T08:22:38Z</dcterms:modified>
  <cp:category/>
  <cp:version/>
  <cp:contentType/>
  <cp:contentStatus/>
</cp:coreProperties>
</file>