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605" windowHeight="7005" activeTab="1"/>
  </bookViews>
  <sheets>
    <sheet name="BCKQKD 2017.2016" sheetId="1" r:id="rId1"/>
    <sheet name="KHSXKD2018 ( PA.1 )" sheetId="2" r:id="rId2"/>
    <sheet name="DT Tong 2018" sheetId="3" r:id="rId3"/>
    <sheet name="DV khac 2015" sheetId="4" state="hidden" r:id="rId4"/>
    <sheet name="Chi phí 2016" sheetId="5" state="hidden" r:id="rId5"/>
    <sheet name="632_11.2016" sheetId="6" state="hidden" r:id="rId6"/>
    <sheet name="642_11.2016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Builtin0">#REF!</definedName>
    <definedName name="_Fill" hidden="1">#REF!</definedName>
    <definedName name="_xlnm._FilterDatabase" localSheetId="3" hidden="1">'DV khac 2015'!$A$3:$K$3</definedName>
    <definedName name="_sat12">'[2]Bang chiet tinh TBA'!#REF!</definedName>
    <definedName name="_Sat27">'[2]Chiet tinh DZ 22'!#REF!</definedName>
    <definedName name="_Sat6">'[2]Chiet tinh DZ 22'!#REF!</definedName>
    <definedName name="buoc">'[2]Chiet tinh DZ 22'!#REF!</definedName>
    <definedName name="Bust">#REF!</definedName>
    <definedName name="Continue">#REF!</definedName>
    <definedName name="Cot_thep">'[3]Du_lieu'!$C$19</definedName>
    <definedName name="cto">'[4]THCT'!#REF!</definedName>
    <definedName name="Documents_array">#REF!</definedName>
    <definedName name="duong04">'[4]THDZ0,4'!#REF!</definedName>
    <definedName name="duong35">'[4]TH DZ35'!#REF!</definedName>
    <definedName name="Hello">#REF!</definedName>
    <definedName name="HSNC">'[3]Du_lieu'!$C$6</definedName>
    <definedName name="MakeIt">#REF!</definedName>
    <definedName name="Morning">#REF!</definedName>
    <definedName name="Poppy">#REF!</definedName>
    <definedName name="sat12">'[2]Bang chiet tinh TBA'!#REF!</definedName>
    <definedName name="Sat27">'[2]Chiet tinh DZ 22'!#REF!</definedName>
    <definedName name="Sat6">'[2]Chiet tinh DZ 22'!#REF!</definedName>
    <definedName name="satu">'[2]Bang chiet tinh TBA'!#REF!</definedName>
    <definedName name="ThanhXuan110">'[5]KH-Q1,Q2,01'!#REF!</definedName>
    <definedName name="thepU">'[6]TTDZ22'!#REF!</definedName>
    <definedName name="tram">'[4]THTram'!#REF!</definedName>
  </definedNames>
  <calcPr fullCalcOnLoad="1"/>
</workbook>
</file>

<file path=xl/comments4.xml><?xml version="1.0" encoding="utf-8"?>
<comments xmlns="http://schemas.openxmlformats.org/spreadsheetml/2006/main">
  <authors>
    <author>linh</author>
    <author>A</author>
  </authors>
  <commentList>
    <comment ref="C43" authorId="0">
      <text>
        <r>
          <rPr>
            <b/>
            <sz val="8"/>
            <rFont val="Tahoma"/>
            <family val="2"/>
          </rPr>
          <t>DV đón trả khách T12</t>
        </r>
      </text>
    </comment>
    <comment ref="C41" authorId="0">
      <text>
        <r>
          <rPr>
            <b/>
            <sz val="8"/>
            <rFont val="Tahoma"/>
            <family val="2"/>
          </rPr>
          <t xml:space="preserve">linh: Lấy bằng T11
</t>
        </r>
        <r>
          <rPr>
            <sz val="8"/>
            <rFont val="Tahoma"/>
            <family val="2"/>
          </rPr>
          <t xml:space="preserve">điện nước văn phòng + đón trả khách t12
</t>
        </r>
      </text>
    </comment>
    <comment ref="B45" authorId="0">
      <text>
        <r>
          <rPr>
            <b/>
            <sz val="8"/>
            <rFont val="Tahoma"/>
            <family val="2"/>
          </rPr>
          <t>l</t>
        </r>
      </text>
    </comment>
    <comment ref="D45" authorId="0">
      <text>
        <r>
          <rPr>
            <b/>
            <sz val="8"/>
            <rFont val="Tahoma"/>
            <family val="2"/>
          </rPr>
          <t>linh:</t>
        </r>
        <r>
          <rPr>
            <sz val="8"/>
            <rFont val="Tahoma"/>
            <family val="2"/>
          </rPr>
          <t xml:space="preserve">
vần còn các khoản nhỏ lẻ như điện nước các ốt</t>
        </r>
      </text>
    </comment>
    <comment ref="B35" authorId="1">
      <text>
        <r>
          <rPr>
            <sz val="9"/>
            <rFont val="Tahoma"/>
            <family val="2"/>
          </rPr>
          <t>05 tháng</t>
        </r>
      </text>
    </comment>
    <comment ref="C34" authorId="1">
      <text>
        <r>
          <rPr>
            <sz val="9"/>
            <rFont val="Tahoma"/>
            <family val="2"/>
          </rPr>
          <t xml:space="preserve">
lấy bằng tháng 11</t>
        </r>
      </text>
    </comment>
    <comment ref="C6" authorId="1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Lấy DT tháng 11</t>
        </r>
      </text>
    </comment>
    <comment ref="C29" authorId="1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Chia bình quân 11 tháng</t>
        </r>
      </text>
    </comment>
    <comment ref="C32" authorId="1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Thu Phạt bổ sung</t>
        </r>
      </text>
    </comment>
    <comment ref="B37" authorId="1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Cả tiền điện, nước 3,7 triệu</t>
        </r>
      </text>
    </comment>
    <comment ref="C37" authorId="1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tiền điện T12
</t>
        </r>
      </text>
    </comment>
    <comment ref="K37" authorId="1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Cả tiền điện, nước 3,7 triệu</t>
        </r>
      </text>
    </comment>
  </commentList>
</comments>
</file>

<file path=xl/sharedStrings.xml><?xml version="1.0" encoding="utf-8"?>
<sst xmlns="http://schemas.openxmlformats.org/spreadsheetml/2006/main" count="397" uniqueCount="283">
  <si>
    <t>TT</t>
  </si>
  <si>
    <t>I</t>
  </si>
  <si>
    <t>Bến xe Vinh</t>
  </si>
  <si>
    <t>II</t>
  </si>
  <si>
    <t>III</t>
  </si>
  <si>
    <t>IV</t>
  </si>
  <si>
    <t>V</t>
  </si>
  <si>
    <t>VI</t>
  </si>
  <si>
    <t>Tổng cộng</t>
  </si>
  <si>
    <t>Tổng giám đốc</t>
  </si>
  <si>
    <t>Trần Minh Thành</t>
  </si>
  <si>
    <t>Nguyễn Đình Lâm</t>
  </si>
  <si>
    <t>Bến xe chợ Vinh</t>
  </si>
  <si>
    <t>Bến xe Nghĩa Đàn</t>
  </si>
  <si>
    <t>Bến xe Nam Đàn</t>
  </si>
  <si>
    <t>Bến xe Cửa Lò</t>
  </si>
  <si>
    <t>Bến xe Quỳ Hợp</t>
  </si>
  <si>
    <t>Bến xe Quế Phong</t>
  </si>
  <si>
    <t>Bến xe Con Cuông</t>
  </si>
  <si>
    <t>Bến xe Tân Kỳ</t>
  </si>
  <si>
    <t>Bến xe Thanh Chương</t>
  </si>
  <si>
    <t>Bến xe Hòa Bình</t>
  </si>
  <si>
    <t>Bến xe Quỳ Châu</t>
  </si>
  <si>
    <t>Đơn vị tính : Nghìn đồng .</t>
  </si>
  <si>
    <t>Đơn vị</t>
  </si>
  <si>
    <t>Doanh thu phục vụ vận tải khách</t>
  </si>
  <si>
    <t>Bến xe Đô Lương</t>
  </si>
  <si>
    <t>Dịch vụ Bông Sen</t>
  </si>
  <si>
    <t>Bến xe Mường xén</t>
  </si>
  <si>
    <t>Tæng céng:</t>
  </si>
  <si>
    <t>CÔNG TY CỔ PHẦN BẾN XE NGHỆ AN</t>
  </si>
  <si>
    <t>Đơn vị tính : Nghìn đồng</t>
  </si>
  <si>
    <t>Chỉ tiêu</t>
  </si>
  <si>
    <t>Chi tiết năm báo cáo và năm kế hoạch</t>
  </si>
  <si>
    <t>Ghi chú</t>
  </si>
  <si>
    <t xml:space="preserve">Tỷ lệ %/DT </t>
  </si>
  <si>
    <t>Tăng
(%)</t>
  </si>
  <si>
    <t>Giảm
(%)</t>
  </si>
  <si>
    <t>Tổng doanh thu bán hàng và cung cấp dịch vụ</t>
  </si>
  <si>
    <t>Doanh thu dịch vụ phục vụ vận tải khách</t>
  </si>
  <si>
    <t>Doanh thu DV Bông Sen</t>
  </si>
  <si>
    <t>Thuế GTGT đầu ra 10%</t>
  </si>
  <si>
    <t>Doanh thu thuần về bán hàng và cung cấp dịch vụ</t>
  </si>
  <si>
    <t>Giá vốn hàng bán</t>
  </si>
  <si>
    <t xml:space="preserve">Lương, thưởng </t>
  </si>
  <si>
    <t>TK 6321</t>
  </si>
  <si>
    <t xml:space="preserve">KPCĐ, BHXH, BHYT, BHTN </t>
  </si>
  <si>
    <t xml:space="preserve">Chi phí dịch vụ mua ngoài </t>
  </si>
  <si>
    <t>TK 6322</t>
  </si>
  <si>
    <t>CCDC,CP dài hạn  phân bổ</t>
  </si>
  <si>
    <t>Có TK 242</t>
  </si>
  <si>
    <t>CCDC tiêu hao</t>
  </si>
  <si>
    <t>TK 6323</t>
  </si>
  <si>
    <t xml:space="preserve">Khấu hao TSCĐ </t>
  </si>
  <si>
    <t xml:space="preserve">TK 6324 </t>
  </si>
  <si>
    <t xml:space="preserve">Chi phí bằng tiền khác </t>
  </si>
  <si>
    <t>TK 6325</t>
  </si>
  <si>
    <t>Tiền thuê đất</t>
  </si>
  <si>
    <t xml:space="preserve">CP sửa chữa thường xuyên </t>
  </si>
  <si>
    <t>TK 6327</t>
  </si>
  <si>
    <t>Nguyên liệu DV Bông Sen</t>
  </si>
  <si>
    <t>TK 6111</t>
  </si>
  <si>
    <t>Chi phí bán hàng</t>
  </si>
  <si>
    <t>TK641</t>
  </si>
  <si>
    <t>TK642</t>
  </si>
  <si>
    <t xml:space="preserve">Lương, thưởng bộ phận quản lý
</t>
  </si>
  <si>
    <t>TK 6421</t>
  </si>
  <si>
    <t>Chi phí nguyên vật liệu</t>
  </si>
  <si>
    <t>TK 6422</t>
  </si>
  <si>
    <t>CP CCDC + CP DH phân bổ</t>
  </si>
  <si>
    <t>Chi phí đồ dùng tiêu hao</t>
  </si>
  <si>
    <t>TK 6423</t>
  </si>
  <si>
    <t xml:space="preserve">Chi phí KHTSCĐ bộ phận quản lý </t>
  </si>
  <si>
    <t>TK 6424</t>
  </si>
  <si>
    <t xml:space="preserve">Thuế môn bài, phí và lệ phí </t>
  </si>
  <si>
    <t>TK 6425</t>
  </si>
  <si>
    <t xml:space="preserve">Chi phí dich vụ mua ngoài </t>
  </si>
  <si>
    <t>TK 6427</t>
  </si>
  <si>
    <t>Phải trả thù lao HĐQT, BKS</t>
  </si>
  <si>
    <t>TK 6428</t>
  </si>
  <si>
    <t>VII</t>
  </si>
  <si>
    <t>VIII</t>
  </si>
  <si>
    <t>Doanh thu hoạt động tài chính</t>
  </si>
  <si>
    <t>IX</t>
  </si>
  <si>
    <t>Chi phí hoạt động tài chính</t>
  </si>
  <si>
    <t>X</t>
  </si>
  <si>
    <t>Lợi nhuận từ HĐ kinh doanh
{X = VII + (VIII - IX)}</t>
  </si>
  <si>
    <t>XI</t>
  </si>
  <si>
    <t>Thu nhập khác</t>
  </si>
  <si>
    <t>XII</t>
  </si>
  <si>
    <t>Chi phí khác</t>
  </si>
  <si>
    <t>XIII</t>
  </si>
  <si>
    <t>XIV</t>
  </si>
  <si>
    <t>Tổng lợi nhuận trước thuế
(XIV = X + XIII )</t>
  </si>
  <si>
    <t>XV</t>
  </si>
  <si>
    <t xml:space="preserve">Chi phí thuế TN hiện hành                  </t>
  </si>
  <si>
    <t>XVI</t>
  </si>
  <si>
    <t>Lợi nhuận sau thuế</t>
  </si>
  <si>
    <t>Nguyễn Thị Thùy Linh</t>
  </si>
  <si>
    <t>TK 6322,63221</t>
  </si>
  <si>
    <t>TK 6323,63231</t>
  </si>
  <si>
    <t>TK 6325,63251</t>
  </si>
  <si>
    <t>TK 63222</t>
  </si>
  <si>
    <r>
      <t>c«ng ty cæ phÇn bÕn xe nghÖ an</t>
    </r>
    <r>
      <rPr>
        <sz val="11"/>
        <rFont val=".VnTime"/>
        <family val="2"/>
      </rPr>
      <t xml:space="preserve">
</t>
    </r>
  </si>
  <si>
    <t xml:space="preserve">             Nguyễn Thanh Giang</t>
  </si>
  <si>
    <t>11 tháng</t>
  </si>
  <si>
    <t>tháng 12</t>
  </si>
  <si>
    <t>ĐVT: 1.000</t>
  </si>
  <si>
    <t>Dương Hồng</t>
  </si>
  <si>
    <t>Thành Vinh</t>
  </si>
  <si>
    <t>Tuấn Hiệp</t>
  </si>
  <si>
    <t>Lan Lượng</t>
  </si>
  <si>
    <t>Con Cuông</t>
  </si>
  <si>
    <t>Quỳ Châu</t>
  </si>
  <si>
    <t>Tổng</t>
  </si>
  <si>
    <t>DV khác (51134)</t>
  </si>
  <si>
    <t>DV Kioot(51133)</t>
  </si>
  <si>
    <t>Hưng Thái</t>
  </si>
  <si>
    <t>Hoàng Long</t>
  </si>
  <si>
    <t>Phúc Lợi</t>
  </si>
  <si>
    <t>Viettel</t>
  </si>
  <si>
    <t>điện nước lẻ khoảng</t>
  </si>
  <si>
    <t>rửa xe bến Vinh</t>
  </si>
  <si>
    <t>nhà vệ sinh bến vinh, điện nước bến Vinh</t>
  </si>
  <si>
    <t>văn Minh + điện nước</t>
  </si>
  <si>
    <t>Kiot Bến Vinh</t>
  </si>
  <si>
    <t>Kiot bến chợ Vinh</t>
  </si>
  <si>
    <t>Phan văn Nhuỵ</t>
  </si>
  <si>
    <t>Nguyễn Lương Phương (bến Vinh)</t>
  </si>
  <si>
    <t>Đô lương ( Nhà kho )</t>
  </si>
  <si>
    <t>Rửa xe Nghĩa đàn</t>
  </si>
  <si>
    <t>phí xe tải ( BX Con Cuông )</t>
  </si>
  <si>
    <t>Nguyễn Chí Toàn ( Thanh chương)</t>
  </si>
  <si>
    <t>Nguyễn Hùng Tú ( BX Nghĩa đàn )</t>
  </si>
  <si>
    <t>Dự kiến 2015</t>
  </si>
  <si>
    <t>Hải Mai ( Nghĩa đàn )</t>
  </si>
  <si>
    <t>Hoà Vinh ( Nghĩa đàn )</t>
  </si>
  <si>
    <t>Phan Bá Tuấn Hạnh</t>
  </si>
  <si>
    <t>Võ Thành Sơn</t>
  </si>
  <si>
    <t xml:space="preserve">Phan Thanh Tuấn </t>
  </si>
  <si>
    <t>Nguyễn Hữu Hải</t>
  </si>
  <si>
    <t>đluong</t>
  </si>
  <si>
    <t>35trieeu/năm</t>
  </si>
  <si>
    <t xml:space="preserve">Công ty Trường Thịnh </t>
  </si>
  <si>
    <t>KH 2016</t>
  </si>
  <si>
    <t>( Hỏi lại Hùng )</t>
  </si>
  <si>
    <t>HTX vận tải hành khách</t>
  </si>
  <si>
    <t>HTX Bình Minh</t>
  </si>
  <si>
    <t>Hải Vân</t>
  </si>
  <si>
    <t>Nhà vệ sinh chợ + điện nước</t>
  </si>
  <si>
    <t>Đô lương ( Mai Linh )</t>
  </si>
  <si>
    <t>Mai Linh ( Biển Quảng cáo )</t>
  </si>
  <si>
    <t>Mai Linh ( đón trả khách )</t>
  </si>
  <si>
    <t>Tiền điện Mai Linh</t>
  </si>
  <si>
    <t>KT Hạch toán xe trả khách BX con cuông nhầm vào DT vận tải ( trên phần mềm )</t>
  </si>
  <si>
    <t>Phí</t>
  </si>
  <si>
    <t>Điện, nước</t>
  </si>
  <si>
    <t>CP quản lý doanh nghiệp</t>
  </si>
  <si>
    <t>Thuế GTGT trong DT</t>
  </si>
  <si>
    <t>11 tháng 2016</t>
  </si>
  <si>
    <t xml:space="preserve"> </t>
  </si>
  <si>
    <t>Công ty Cổ phần Bến xe Nghệ An</t>
  </si>
  <si>
    <t>Số 77 Lê Lợi, Vinh, Nghệ An, Tp. Vinh, Nghệ An</t>
  </si>
  <si>
    <t>SỔ TỔNG HỢP CHI PHÍ PHÁT SINH</t>
  </si>
  <si>
    <t>Tài khoản: 632-Giá vốn hàng bán</t>
  </si>
  <si>
    <t>Nhóm mục chi phí: Tất cả</t>
  </si>
  <si>
    <t>Từ ngày 01/01/2016 Đến ngày 30/11/2016</t>
  </si>
  <si>
    <t>VND</t>
  </si>
  <si>
    <t>Số tiền</t>
  </si>
  <si>
    <t>Mã</t>
  </si>
  <si>
    <t>Diễn giải</t>
  </si>
  <si>
    <t>Chi phí phát sinh</t>
  </si>
  <si>
    <t>Chi phí giảm trừ</t>
  </si>
  <si>
    <t>Chi phí thực tế</t>
  </si>
  <si>
    <t>10</t>
  </si>
  <si>
    <t>Nguyên vật liệu</t>
  </si>
  <si>
    <t>31</t>
  </si>
  <si>
    <t>Chi phí nguyên vật liệu - DV Bông Sen</t>
  </si>
  <si>
    <t>20</t>
  </si>
  <si>
    <t>Nhân công</t>
  </si>
  <si>
    <t>Tiền lương</t>
  </si>
  <si>
    <t>22</t>
  </si>
  <si>
    <t>BHXH</t>
  </si>
  <si>
    <t>23</t>
  </si>
  <si>
    <t>BHYT</t>
  </si>
  <si>
    <t>24</t>
  </si>
  <si>
    <t>KPCĐ</t>
  </si>
  <si>
    <t>25</t>
  </si>
  <si>
    <t>BH thất nghiệp</t>
  </si>
  <si>
    <t>30</t>
  </si>
  <si>
    <t>Khấu hao TSCĐ</t>
  </si>
  <si>
    <t>Chi phí khấu hao</t>
  </si>
  <si>
    <t>40</t>
  </si>
  <si>
    <t>Chi phí dịch vụ mua ngoài</t>
  </si>
  <si>
    <t>11</t>
  </si>
  <si>
    <t>Chi phí xây dựng CBDD</t>
  </si>
  <si>
    <t>401</t>
  </si>
  <si>
    <t>Tiền điện</t>
  </si>
  <si>
    <t>499</t>
  </si>
  <si>
    <t>Chi phí dịch vụ mua ngoài khác</t>
  </si>
  <si>
    <t>50</t>
  </si>
  <si>
    <t>Chi phí khác bằng tiền</t>
  </si>
  <si>
    <t>599</t>
  </si>
  <si>
    <t>60</t>
  </si>
  <si>
    <t>Thuế,phí lệ phí</t>
  </si>
  <si>
    <t>601</t>
  </si>
  <si>
    <t>Thuế,phí,lệ phí</t>
  </si>
  <si>
    <t>61</t>
  </si>
  <si>
    <t>Vật rẻ</t>
  </si>
  <si>
    <t>602</t>
  </si>
  <si>
    <t>Chi phí vật rẻ</t>
  </si>
  <si>
    <t>603</t>
  </si>
  <si>
    <t>Chi phí trả trước dài hạn</t>
  </si>
  <si>
    <t>604</t>
  </si>
  <si>
    <t>Chi phí trả trước ngắn hạn</t>
  </si>
  <si>
    <t>62</t>
  </si>
  <si>
    <t>chi phí SCTX TSCĐ</t>
  </si>
  <si>
    <t>SCTX</t>
  </si>
  <si>
    <t>Chi phí SCTX TSCĐ</t>
  </si>
  <si>
    <t xml:space="preserve">                                Tổng cộng</t>
  </si>
  <si>
    <t>Nghệ An, Ngày 11 Tháng 12 Năm 2016</t>
  </si>
  <si>
    <t xml:space="preserve"> Người lập biểu</t>
  </si>
  <si>
    <t>Kế toán trưởng</t>
  </si>
  <si>
    <t>Trang</t>
  </si>
  <si>
    <t>Tài khoản: 642-Chi phí quản lý doanh nghiệp</t>
  </si>
  <si>
    <t>21</t>
  </si>
  <si>
    <t>Ăn ca</t>
  </si>
  <si>
    <t>26</t>
  </si>
  <si>
    <t>Chi phí thù lao HĐQT,BKS</t>
  </si>
  <si>
    <t>Tháng 12 năm 2015</t>
  </si>
  <si>
    <t>TB 1 tháng 2016</t>
  </si>
  <si>
    <t>Ước tháng 12/2016</t>
  </si>
  <si>
    <t>Ước năm 2016</t>
  </si>
  <si>
    <t xml:space="preserve">số k có mục phí </t>
  </si>
  <si>
    <t>số k có mục phí</t>
  </si>
  <si>
    <t>Doanh thu DV gia tăng</t>
  </si>
  <si>
    <t>KÕ ho¹ch doanh thu n¨m 2018</t>
  </si>
  <si>
    <t xml:space="preserve"> Thực hiện năm 2017</t>
  </si>
  <si>
    <t>KẾ HOẠCH HOẠT ĐỘNG SẢN XUẤT KINH DOANH NĂM 2018</t>
  </si>
  <si>
    <t>So sánh 2018/2017</t>
  </si>
  <si>
    <t>Kế hoạch năm 2018</t>
  </si>
  <si>
    <t>Vinh, ngày    th¸ng    n¨m 2018</t>
  </si>
  <si>
    <t>Vinh, ngày      tháng      năm 2018</t>
  </si>
  <si>
    <t>Lợi nhuận khác ( XIII = XI - XII )</t>
  </si>
  <si>
    <t>TP kế hoạch vận tải</t>
  </si>
  <si>
    <t>Lợi nhuận gộp về bán hàng và cung cấp DV  ( VII = III - IV-V-VI )</t>
  </si>
  <si>
    <t>Người lập biểu</t>
  </si>
  <si>
    <t>Công ty cổ phần Bến xe Nghệ an</t>
  </si>
  <si>
    <t>BÁO CÁO KẾT QUẢ KINH DOANH</t>
  </si>
  <si>
    <t>Cả năm 2017</t>
  </si>
  <si>
    <t>Chi tiêu</t>
  </si>
  <si>
    <t>Mã số</t>
  </si>
  <si>
    <t>1. Doanh thu bán hàng và cung cấp dịch vụ</t>
  </si>
  <si>
    <t>01</t>
  </si>
  <si>
    <t>2. Các khoản giảm trừ doanh thu</t>
  </si>
  <si>
    <t>02</t>
  </si>
  <si>
    <t>4. Giá vốn hàng bán</t>
  </si>
  <si>
    <t>6. Doanh thu hoạt động tài chính</t>
  </si>
  <si>
    <t>7. Chí phí tài chính</t>
  </si>
  <si>
    <t xml:space="preserve">- Trong đó : chi phí lãi vay </t>
  </si>
  <si>
    <t>8. Chi phí bán hàng</t>
  </si>
  <si>
    <t>9. Chi phí quản lý doanh nghiệp</t>
  </si>
  <si>
    <t>10. Lợi nhuận thuần từ hoạt động kinh doanh  {30=20+(21-22)-(24+25)}</t>
  </si>
  <si>
    <t>11. Thu nhập khác</t>
  </si>
  <si>
    <t>12. Chi phí khác</t>
  </si>
  <si>
    <t>32</t>
  </si>
  <si>
    <t>13. Lợi nhuận khác (40 = 31-32)</t>
  </si>
  <si>
    <t>14. Tổng lợi nhuận kế toán trước thuế (50=30+40)</t>
  </si>
  <si>
    <t>15. Chi phí thuế TNDN hiện hành</t>
  </si>
  <si>
    <t>51</t>
  </si>
  <si>
    <t>16. Chi phí thuế TNDN hoãn lại</t>
  </si>
  <si>
    <t>52</t>
  </si>
  <si>
    <t>Nghệ An, Ngày 17 Tháng 1 Năm 2018</t>
  </si>
  <si>
    <t>3. Doanh thu thuần về bán hàng và cung cấp dịch vụ     (10 = 01 - 02 )</t>
  </si>
  <si>
    <t>5. Lợi nhuận gộp về bán hàng và cung cấp dịch vụ         (20 = 10 - 11)</t>
  </si>
  <si>
    <t>17. Lợi nhuận sau thuế thu nhập doanh nghiệp               (60=50-51-52)</t>
  </si>
  <si>
    <t>Năm 2017</t>
  </si>
  <si>
    <t>Năm 2016</t>
  </si>
  <si>
    <t>Đơn vị tính :  VN đồng</t>
  </si>
  <si>
    <t>Nguyễn Thanh Giang</t>
  </si>
  <si>
    <t>( Phương án 1 )</t>
  </si>
  <si>
    <t>Người lập biểu                                          Kế toán trưởng                          Tổng giám đốc</t>
  </si>
  <si>
    <t>Nguyễn Thị Thùy Linh                          Nguyễn Thanh Giang                        Trần Minh Thành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</si>
</sst>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_)"/>
    <numFmt numFmtId="174" formatCode="_(* #,##0.000_);_(* \(#,##0.000\);_(* &quot;-&quot;??_);_(@_)"/>
    <numFmt numFmtId="175" formatCode="_(* #,##0.0000_);_(* \(#,##0.0000\);_(* &quot;-&quot;??_);_(@_)"/>
    <numFmt numFmtId="176" formatCode="0.000"/>
    <numFmt numFmtId="177" formatCode="000\-00\-0000"/>
    <numFmt numFmtId="178" formatCode="#,##0.0"/>
    <numFmt numFmtId="179" formatCode="_(* #,##0_);_(* \(#,##0\);_(* &quot;-&quot;??_);_(@_)"/>
    <numFmt numFmtId="180" formatCode="0.0"/>
    <numFmt numFmtId="181" formatCode="0.000%"/>
    <numFmt numFmtId="182" formatCode="0.0000%"/>
    <numFmt numFmtId="183" formatCode="0.00000%"/>
    <numFmt numFmtId="184" formatCode="#,##0.000"/>
    <numFmt numFmtId="185" formatCode="#,##0.0000"/>
    <numFmt numFmtId="186" formatCode="#,##0.00000"/>
    <numFmt numFmtId="187" formatCode="#,##0.000000"/>
    <numFmt numFmtId="188" formatCode="0.000000"/>
    <numFmt numFmtId="189" formatCode="0.00000"/>
    <numFmt numFmtId="190" formatCode="0.0000"/>
    <numFmt numFmtId="191" formatCode="_(* #,##0.0_);_(* \(#,##0.0\);_(* &quot;-&quot;??_);_(@_)"/>
    <numFmt numFmtId="192" formatCode="_-* #,##0\ _₫_-;\-* #,##0\ _₫_-;_-* &quot;-&quot;??\ _₫_-;_-@_-"/>
    <numFmt numFmtId="193" formatCode="_-* #,##0.0\ _₫_-;\-* #,##0.0\ _₫_-;_-* &quot;-&quot;??\ _₫_-;_-@_-"/>
  </numFmts>
  <fonts count="121">
    <font>
      <sz val="10"/>
      <name val=".VnTime"/>
      <family val="0"/>
    </font>
    <font>
      <sz val="12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u val="single"/>
      <sz val="10"/>
      <color indexed="12"/>
      <name val=".VnTime"/>
      <family val="2"/>
    </font>
    <font>
      <u val="single"/>
      <sz val="10"/>
      <color indexed="36"/>
      <name val=".VnTime"/>
      <family val="2"/>
    </font>
    <font>
      <b/>
      <sz val="13"/>
      <name val=".VnTimeH"/>
      <family val="2"/>
    </font>
    <font>
      <sz val="13"/>
      <name val=".VnTime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0"/>
      <name val="Arial"/>
      <family val="2"/>
    </font>
    <font>
      <sz val="12"/>
      <name val="VNTime"/>
      <family val="0"/>
    </font>
    <font>
      <b/>
      <i/>
      <sz val="16"/>
      <name val="Helv"/>
      <family val="0"/>
    </font>
    <font>
      <sz val="14"/>
      <name val="뼻뮝"/>
      <family val="3"/>
    </font>
    <font>
      <sz val="12"/>
      <name val="뼻뮝"/>
      <family val="1"/>
    </font>
    <font>
      <sz val="8.5"/>
      <name val="Dutoan TCVN1993"/>
      <family val="2"/>
    </font>
    <font>
      <sz val="10"/>
      <name val="굴림체"/>
      <family val="3"/>
    </font>
    <font>
      <i/>
      <sz val="13"/>
      <name val=".VnTime"/>
      <family val="2"/>
    </font>
    <font>
      <b/>
      <i/>
      <sz val="13"/>
      <name val="Times New Roman"/>
      <family val="1"/>
    </font>
    <font>
      <b/>
      <sz val="13"/>
      <name val=".VnTime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.VnTimeH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 Unicode MS"/>
      <family val="2"/>
    </font>
    <font>
      <sz val="9"/>
      <name val="Times New Roman"/>
      <family val="1"/>
    </font>
    <font>
      <b/>
      <sz val="18"/>
      <color indexed="63"/>
      <name val="Arial Unicode MS"/>
      <family val="2"/>
    </font>
    <font>
      <b/>
      <sz val="9"/>
      <name val="Microsoft Sans Serif"/>
      <family val="2"/>
    </font>
    <font>
      <b/>
      <sz val="9"/>
      <name val="Arial Unicode MS"/>
      <family val="2"/>
    </font>
    <font>
      <b/>
      <sz val="8"/>
      <name val="Arial Unicode MS"/>
      <family val="2"/>
    </font>
    <font>
      <sz val="9"/>
      <name val="Arial Unicode MS"/>
      <family val="2"/>
    </font>
    <font>
      <i/>
      <sz val="9"/>
      <name val="Times New Roman"/>
      <family val="1"/>
    </font>
    <font>
      <b/>
      <sz val="10"/>
      <name val="Arial"/>
      <family val="2"/>
    </font>
    <font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1"/>
      <color indexed="8"/>
      <name val="Arial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4"/>
      <color indexed="17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63"/>
      <name val="Times New Roman"/>
      <family val="1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sz val="11"/>
      <color theme="1"/>
      <name val="Calibri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4"/>
      <color rgb="FF00B050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  <font>
      <i/>
      <sz val="13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i/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3"/>
      <name val="Cambria"/>
      <family val="1"/>
    </font>
    <font>
      <b/>
      <sz val="14"/>
      <name val="Cambria"/>
      <family val="1"/>
    </font>
    <font>
      <sz val="9"/>
      <color theme="1"/>
      <name val="Times New Roman"/>
      <family val="1"/>
    </font>
    <font>
      <b/>
      <sz val="13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4"/>
      <color indexed="63"/>
      <name val="Cambria"/>
      <family val="1"/>
    </font>
    <font>
      <i/>
      <sz val="14"/>
      <name val="Cambria"/>
      <family val="1"/>
    </font>
    <font>
      <b/>
      <sz val="8"/>
      <name val=".VnTim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6" fillId="0" borderId="0" applyFont="0" applyFill="0" applyBorder="0" applyAlignment="0" quotePrefix="1">
      <protection locked="0"/>
    </xf>
    <xf numFmtId="43" fontId="16" fillId="0" borderId="0" applyFont="0" applyFill="0" applyBorder="0" applyAlignment="0" quotePrefix="1">
      <protection locked="0"/>
    </xf>
    <xf numFmtId="171" fontId="0" fillId="0" borderId="0" applyFont="0" applyFill="0" applyBorder="0" applyAlignment="0" applyProtection="0"/>
    <xf numFmtId="43" fontId="16" fillId="0" borderId="0" applyFont="0" applyFill="0" applyBorder="0" applyAlignment="0" quotePrefix="1">
      <protection locked="0"/>
    </xf>
    <xf numFmtId="43" fontId="85" fillId="0" borderId="0" applyFont="0" applyFill="0" applyBorder="0" applyAlignment="0" applyProtection="0"/>
    <xf numFmtId="3" fontId="1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86" fillId="28" borderId="2" applyNumberFormat="0" applyAlignment="0" applyProtection="0"/>
    <xf numFmtId="0" fontId="1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173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20" fillId="0" borderId="0">
      <alignment/>
      <protection/>
    </xf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>
      <alignment/>
      <protection/>
    </xf>
  </cellStyleXfs>
  <cellXfs count="249">
    <xf numFmtId="0" fontId="0" fillId="0" borderId="0" xfId="0" applyAlignment="1">
      <alignment/>
    </xf>
    <xf numFmtId="0" fontId="1" fillId="0" borderId="0" xfId="98" applyFill="1" applyAlignment="1">
      <alignment vertical="center"/>
      <protection/>
    </xf>
    <xf numFmtId="0" fontId="11" fillId="0" borderId="0" xfId="98" applyFont="1" applyFill="1" applyAlignment="1">
      <alignment vertical="center"/>
      <protection/>
    </xf>
    <xf numFmtId="0" fontId="2" fillId="0" borderId="0" xfId="98" applyFont="1" applyFill="1" applyAlignment="1">
      <alignment vertical="center"/>
      <protection/>
    </xf>
    <xf numFmtId="0" fontId="1" fillId="0" borderId="0" xfId="98" applyFont="1" applyFill="1" applyAlignment="1">
      <alignment vertical="center"/>
      <protection/>
    </xf>
    <xf numFmtId="0" fontId="10" fillId="0" borderId="0" xfId="98" applyFont="1" applyFill="1" applyAlignment="1">
      <alignment horizontal="center" vertical="center"/>
      <protection/>
    </xf>
    <xf numFmtId="0" fontId="10" fillId="0" borderId="0" xfId="98" applyFont="1" applyFill="1" applyAlignment="1">
      <alignment vertical="center"/>
      <protection/>
    </xf>
    <xf numFmtId="0" fontId="7" fillId="0" borderId="0" xfId="98" applyFont="1" applyFill="1" applyAlignment="1">
      <alignment vertical="center"/>
      <protection/>
    </xf>
    <xf numFmtId="3" fontId="16" fillId="0" borderId="0" xfId="92" applyNumberFormat="1">
      <alignment/>
      <protection/>
    </xf>
    <xf numFmtId="0" fontId="16" fillId="0" borderId="0" xfId="92">
      <alignment/>
      <protection/>
    </xf>
    <xf numFmtId="0" fontId="7" fillId="0" borderId="10" xfId="98" applyFont="1" applyFill="1" applyBorder="1" applyAlignment="1">
      <alignment horizontal="center" vertical="center"/>
      <protection/>
    </xf>
    <xf numFmtId="0" fontId="13" fillId="0" borderId="11" xfId="92" applyFont="1" applyBorder="1" applyAlignment="1">
      <alignment vertical="center"/>
      <protection/>
    </xf>
    <xf numFmtId="3" fontId="7" fillId="0" borderId="12" xfId="98" applyNumberFormat="1" applyFont="1" applyFill="1" applyBorder="1" applyAlignment="1">
      <alignment vertical="center"/>
      <protection/>
    </xf>
    <xf numFmtId="0" fontId="7" fillId="0" borderId="13" xfId="98" applyFont="1" applyFill="1" applyBorder="1" applyAlignment="1">
      <alignment horizontal="center" vertical="center"/>
      <protection/>
    </xf>
    <xf numFmtId="3" fontId="7" fillId="0" borderId="11" xfId="98" applyNumberFormat="1" applyFont="1" applyFill="1" applyBorder="1" applyAlignment="1">
      <alignment vertical="center"/>
      <protection/>
    </xf>
    <xf numFmtId="0" fontId="7" fillId="0" borderId="11" xfId="98" applyFont="1" applyFill="1" applyBorder="1" applyAlignment="1">
      <alignment vertical="center"/>
      <protection/>
    </xf>
    <xf numFmtId="3" fontId="25" fillId="0" borderId="14" xfId="98" applyNumberFormat="1" applyFont="1" applyFill="1" applyBorder="1" applyAlignment="1">
      <alignment horizontal="right" vertical="center"/>
      <protection/>
    </xf>
    <xf numFmtId="179" fontId="0" fillId="0" borderId="0" xfId="43" applyNumberFormat="1" applyFont="1" applyFill="1" applyAlignment="1">
      <alignment vertical="center"/>
    </xf>
    <xf numFmtId="10" fontId="0" fillId="0" borderId="0" xfId="109" applyNumberFormat="1" applyFont="1" applyFill="1" applyAlignment="1">
      <alignment vertical="center"/>
    </xf>
    <xf numFmtId="179" fontId="1" fillId="0" borderId="0" xfId="98" applyNumberFormat="1" applyFill="1" applyAlignment="1">
      <alignment vertical="center"/>
      <protection/>
    </xf>
    <xf numFmtId="3" fontId="12" fillId="33" borderId="11" xfId="92" applyNumberFormat="1" applyFont="1" applyFill="1" applyBorder="1" applyAlignment="1">
      <alignment vertical="center"/>
      <protection/>
    </xf>
    <xf numFmtId="0" fontId="26" fillId="33" borderId="13" xfId="92" applyFont="1" applyFill="1" applyBorder="1" applyAlignment="1">
      <alignment horizontal="center" vertical="center"/>
      <protection/>
    </xf>
    <xf numFmtId="0" fontId="28" fillId="33" borderId="11" xfId="92" applyFont="1" applyFill="1" applyBorder="1" applyAlignment="1">
      <alignment vertical="center"/>
      <protection/>
    </xf>
    <xf numFmtId="0" fontId="29" fillId="33" borderId="11" xfId="92" applyFont="1" applyFill="1" applyBorder="1" applyAlignment="1">
      <alignment vertical="center"/>
      <protection/>
    </xf>
    <xf numFmtId="0" fontId="10" fillId="33" borderId="0" xfId="92" applyFont="1" applyFill="1" applyAlignment="1">
      <alignment vertical="center"/>
      <protection/>
    </xf>
    <xf numFmtId="3" fontId="8" fillId="33" borderId="11" xfId="92" applyNumberFormat="1" applyFont="1" applyFill="1" applyBorder="1" applyAlignment="1">
      <alignment vertical="center"/>
      <protection/>
    </xf>
    <xf numFmtId="0" fontId="9" fillId="33" borderId="13" xfId="92" applyFont="1" applyFill="1" applyBorder="1" applyAlignment="1">
      <alignment horizontal="center" vertical="center"/>
      <protection/>
    </xf>
    <xf numFmtId="0" fontId="31" fillId="33" borderId="11" xfId="92" applyFont="1" applyFill="1" applyBorder="1" applyAlignment="1">
      <alignment horizontal="center" vertical="center"/>
      <protection/>
    </xf>
    <xf numFmtId="0" fontId="15" fillId="33" borderId="0" xfId="92" applyFont="1" applyFill="1" applyAlignment="1">
      <alignment vertical="center"/>
      <protection/>
    </xf>
    <xf numFmtId="0" fontId="29" fillId="33" borderId="11" xfId="92" applyFont="1" applyFill="1" applyBorder="1" applyAlignment="1">
      <alignment horizontal="center" vertical="center"/>
      <protection/>
    </xf>
    <xf numFmtId="0" fontId="30" fillId="33" borderId="11" xfId="92" applyFont="1" applyFill="1" applyBorder="1" applyAlignment="1">
      <alignment vertical="center" wrapText="1"/>
      <protection/>
    </xf>
    <xf numFmtId="0" fontId="31" fillId="33" borderId="11" xfId="92" applyFont="1" applyFill="1" applyBorder="1" applyAlignment="1">
      <alignment horizontal="center" vertical="center" wrapText="1"/>
      <protection/>
    </xf>
    <xf numFmtId="0" fontId="31" fillId="33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 wrapText="1"/>
    </xf>
    <xf numFmtId="0" fontId="23" fillId="0" borderId="0" xfId="98" applyFont="1" applyFill="1" applyAlignment="1">
      <alignment horizontal="right" vertical="center" wrapText="1"/>
      <protection/>
    </xf>
    <xf numFmtId="0" fontId="33" fillId="0" borderId="0" xfId="98" applyFont="1" applyFill="1" applyAlignment="1">
      <alignment horizontal="center" vertical="center" wrapText="1"/>
      <protection/>
    </xf>
    <xf numFmtId="3" fontId="7" fillId="33" borderId="11" xfId="98" applyNumberFormat="1" applyFont="1" applyFill="1" applyBorder="1" applyAlignment="1">
      <alignment vertical="center"/>
      <protection/>
    </xf>
    <xf numFmtId="0" fontId="13" fillId="0" borderId="15" xfId="98" applyFont="1" applyFill="1" applyBorder="1" applyAlignment="1">
      <alignment horizontal="center" vertical="center" wrapText="1"/>
      <protection/>
    </xf>
    <xf numFmtId="0" fontId="13" fillId="0" borderId="16" xfId="98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36" fillId="0" borderId="16" xfId="0" applyFont="1" applyBorder="1" applyAlignment="1">
      <alignment/>
    </xf>
    <xf numFmtId="0" fontId="27" fillId="0" borderId="16" xfId="0" applyFont="1" applyBorder="1" applyAlignment="1">
      <alignment horizontal="center"/>
    </xf>
    <xf numFmtId="3" fontId="99" fillId="0" borderId="0" xfId="0" applyNumberFormat="1" applyFont="1" applyAlignment="1">
      <alignment/>
    </xf>
    <xf numFmtId="0" fontId="36" fillId="0" borderId="11" xfId="0" applyFont="1" applyBorder="1" applyAlignment="1">
      <alignment/>
    </xf>
    <xf numFmtId="3" fontId="36" fillId="0" borderId="11" xfId="0" applyNumberFormat="1" applyFont="1" applyBorder="1" applyAlignment="1">
      <alignment/>
    </xf>
    <xf numFmtId="3" fontId="36" fillId="33" borderId="11" xfId="0" applyNumberFormat="1" applyFont="1" applyFill="1" applyBorder="1" applyAlignment="1">
      <alignment/>
    </xf>
    <xf numFmtId="3" fontId="36" fillId="34" borderId="11" xfId="0" applyNumberFormat="1" applyFont="1" applyFill="1" applyBorder="1" applyAlignment="1">
      <alignment/>
    </xf>
    <xf numFmtId="0" fontId="100" fillId="0" borderId="11" xfId="0" applyFont="1" applyBorder="1" applyAlignment="1">
      <alignment/>
    </xf>
    <xf numFmtId="3" fontId="100" fillId="0" borderId="11" xfId="0" applyNumberFormat="1" applyFont="1" applyBorder="1" applyAlignment="1">
      <alignment/>
    </xf>
    <xf numFmtId="0" fontId="27" fillId="35" borderId="11" xfId="0" applyFont="1" applyFill="1" applyBorder="1" applyAlignment="1">
      <alignment/>
    </xf>
    <xf numFmtId="3" fontId="36" fillId="35" borderId="11" xfId="0" applyNumberFormat="1" applyFont="1" applyFill="1" applyBorder="1" applyAlignment="1">
      <alignment/>
    </xf>
    <xf numFmtId="3" fontId="99" fillId="0" borderId="11" xfId="0" applyNumberFormat="1" applyFont="1" applyBorder="1" applyAlignment="1">
      <alignment/>
    </xf>
    <xf numFmtId="0" fontId="36" fillId="35" borderId="12" xfId="0" applyFont="1" applyFill="1" applyBorder="1" applyAlignment="1">
      <alignment/>
    </xf>
    <xf numFmtId="3" fontId="100" fillId="35" borderId="12" xfId="0" applyNumberFormat="1" applyFont="1" applyFill="1" applyBorder="1" applyAlignment="1">
      <alignment/>
    </xf>
    <xf numFmtId="0" fontId="27" fillId="0" borderId="17" xfId="0" applyFont="1" applyBorder="1" applyAlignment="1">
      <alignment horizontal="center"/>
    </xf>
    <xf numFmtId="0" fontId="36" fillId="0" borderId="18" xfId="0" applyFont="1" applyBorder="1" applyAlignment="1">
      <alignment/>
    </xf>
    <xf numFmtId="3" fontId="36" fillId="0" borderId="18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99" fillId="34" borderId="0" xfId="0" applyNumberFormat="1" applyFont="1" applyFill="1" applyAlignment="1">
      <alignment/>
    </xf>
    <xf numFmtId="0" fontId="99" fillId="34" borderId="0" xfId="0" applyFont="1" applyFill="1" applyAlignment="1">
      <alignment/>
    </xf>
    <xf numFmtId="0" fontId="99" fillId="0" borderId="11" xfId="0" applyFont="1" applyBorder="1" applyAlignment="1">
      <alignment/>
    </xf>
    <xf numFmtId="0" fontId="27" fillId="0" borderId="0" xfId="0" applyFont="1" applyAlignment="1">
      <alignment/>
    </xf>
    <xf numFmtId="0" fontId="36" fillId="33" borderId="11" xfId="0" applyFont="1" applyFill="1" applyBorder="1" applyAlignment="1">
      <alignment horizontal="left" vertical="center" wrapText="1"/>
    </xf>
    <xf numFmtId="3" fontId="36" fillId="33" borderId="11" xfId="0" applyNumberFormat="1" applyFont="1" applyFill="1" applyBorder="1" applyAlignment="1">
      <alignment/>
    </xf>
    <xf numFmtId="3" fontId="36" fillId="36" borderId="11" xfId="0" applyNumberFormat="1" applyFont="1" applyFill="1" applyBorder="1" applyAlignment="1">
      <alignment/>
    </xf>
    <xf numFmtId="3" fontId="101" fillId="0" borderId="0" xfId="0" applyNumberFormat="1" applyFont="1" applyAlignment="1">
      <alignment/>
    </xf>
    <xf numFmtId="3" fontId="36" fillId="34" borderId="0" xfId="0" applyNumberFormat="1" applyFont="1" applyFill="1" applyAlignment="1">
      <alignment/>
    </xf>
    <xf numFmtId="3" fontId="36" fillId="33" borderId="0" xfId="0" applyNumberFormat="1" applyFont="1" applyFill="1" applyAlignment="1">
      <alignment/>
    </xf>
    <xf numFmtId="3" fontId="36" fillId="35" borderId="0" xfId="0" applyNumberFormat="1" applyFont="1" applyFill="1" applyAlignment="1">
      <alignment horizontal="center"/>
    </xf>
    <xf numFmtId="0" fontId="36" fillId="35" borderId="0" xfId="0" applyFont="1" applyFill="1" applyAlignment="1">
      <alignment horizontal="center"/>
    </xf>
    <xf numFmtId="3" fontId="36" fillId="35" borderId="0" xfId="0" applyNumberFormat="1" applyFont="1" applyFill="1" applyAlignment="1">
      <alignment/>
    </xf>
    <xf numFmtId="0" fontId="36" fillId="35" borderId="0" xfId="0" applyFont="1" applyFill="1" applyAlignment="1">
      <alignment/>
    </xf>
    <xf numFmtId="3" fontId="27" fillId="0" borderId="0" xfId="0" applyNumberFormat="1" applyFont="1" applyAlignment="1">
      <alignment/>
    </xf>
    <xf numFmtId="0" fontId="25" fillId="0" borderId="0" xfId="98" applyFont="1" applyFill="1" applyBorder="1" applyAlignment="1">
      <alignment horizontal="center" vertical="center"/>
      <protection/>
    </xf>
    <xf numFmtId="3" fontId="25" fillId="0" borderId="0" xfId="98" applyNumberFormat="1" applyFont="1" applyFill="1" applyBorder="1" applyAlignment="1">
      <alignment horizontal="right" vertical="center"/>
      <protection/>
    </xf>
    <xf numFmtId="3" fontId="23" fillId="0" borderId="0" xfId="98" applyNumberFormat="1" applyFont="1" applyFill="1" applyBorder="1" applyAlignment="1">
      <alignment horizontal="right" vertical="center"/>
      <protection/>
    </xf>
    <xf numFmtId="0" fontId="30" fillId="33" borderId="11" xfId="92" applyFont="1" applyFill="1" applyBorder="1" applyAlignment="1">
      <alignment vertical="center"/>
      <protection/>
    </xf>
    <xf numFmtId="10" fontId="14" fillId="33" borderId="0" xfId="110" applyNumberFormat="1" applyFont="1" applyFill="1" applyAlignment="1">
      <alignment horizontal="right" vertical="center"/>
    </xf>
    <xf numFmtId="0" fontId="13" fillId="33" borderId="0" xfId="92" applyFont="1" applyFill="1" applyAlignment="1">
      <alignment vertical="center"/>
      <protection/>
    </xf>
    <xf numFmtId="0" fontId="14" fillId="33" borderId="0" xfId="92" applyFont="1" applyFill="1" applyAlignment="1">
      <alignment horizontal="center" vertical="center"/>
      <protection/>
    </xf>
    <xf numFmtId="0" fontId="14" fillId="33" borderId="0" xfId="92" applyFont="1" applyFill="1" applyAlignment="1">
      <alignment vertical="center"/>
      <protection/>
    </xf>
    <xf numFmtId="3" fontId="11" fillId="33" borderId="0" xfId="92" applyNumberFormat="1" applyFont="1" applyFill="1" applyAlignment="1">
      <alignment vertical="center"/>
      <protection/>
    </xf>
    <xf numFmtId="10" fontId="14" fillId="33" borderId="0" xfId="110" applyNumberFormat="1" applyFont="1" applyFill="1" applyAlignment="1">
      <alignment vertical="center"/>
    </xf>
    <xf numFmtId="10" fontId="11" fillId="33" borderId="0" xfId="110" applyNumberFormat="1" applyFont="1" applyFill="1" applyAlignment="1">
      <alignment vertical="center"/>
    </xf>
    <xf numFmtId="0" fontId="24" fillId="33" borderId="0" xfId="92" applyFont="1" applyFill="1" applyAlignment="1">
      <alignment vertical="center"/>
      <protection/>
    </xf>
    <xf numFmtId="0" fontId="31" fillId="33" borderId="11" xfId="92" applyFont="1" applyFill="1" applyBorder="1" applyAlignment="1">
      <alignment vertical="center"/>
      <protection/>
    </xf>
    <xf numFmtId="3" fontId="13" fillId="33" borderId="0" xfId="92" applyNumberFormat="1" applyFont="1" applyFill="1" applyAlignment="1">
      <alignment vertical="center"/>
      <protection/>
    </xf>
    <xf numFmtId="0" fontId="11" fillId="33" borderId="0" xfId="92" applyFont="1" applyFill="1" applyAlignment="1">
      <alignment vertical="center"/>
      <protection/>
    </xf>
    <xf numFmtId="10" fontId="13" fillId="33" borderId="0" xfId="110" applyNumberFormat="1" applyFont="1" applyFill="1" applyAlignment="1">
      <alignment vertical="center"/>
    </xf>
    <xf numFmtId="0" fontId="32" fillId="0" borderId="0" xfId="0" applyFont="1" applyAlignment="1">
      <alignment/>
    </xf>
    <xf numFmtId="0" fontId="34" fillId="0" borderId="0" xfId="92" applyNumberFormat="1" applyFont="1" applyFill="1" applyBorder="1" applyAlignment="1" applyProtection="1">
      <alignment horizontal="left" vertical="top" wrapText="1"/>
      <protection/>
    </xf>
    <xf numFmtId="0" fontId="43" fillId="0" borderId="19" xfId="92" applyNumberFormat="1" applyFont="1" applyFill="1" applyBorder="1" applyAlignment="1" applyProtection="1">
      <alignment horizontal="center" vertical="center" wrapText="1"/>
      <protection/>
    </xf>
    <xf numFmtId="3" fontId="44" fillId="0" borderId="19" xfId="92" applyNumberFormat="1" applyFont="1" applyFill="1" applyBorder="1" applyAlignment="1" applyProtection="1">
      <alignment horizontal="right" vertical="center" wrapText="1"/>
      <protection/>
    </xf>
    <xf numFmtId="3" fontId="45" fillId="0" borderId="19" xfId="92" applyNumberFormat="1" applyFont="1" applyFill="1" applyBorder="1" applyAlignment="1" applyProtection="1">
      <alignment horizontal="right" vertical="center" wrapText="1"/>
      <protection/>
    </xf>
    <xf numFmtId="0" fontId="40" fillId="0" borderId="0" xfId="92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Alignment="1">
      <alignment/>
    </xf>
    <xf numFmtId="3" fontId="12" fillId="34" borderId="11" xfId="92" applyNumberFormat="1" applyFont="1" applyFill="1" applyBorder="1" applyAlignment="1">
      <alignment vertical="center"/>
      <protection/>
    </xf>
    <xf numFmtId="0" fontId="28" fillId="34" borderId="0" xfId="0" applyFont="1" applyFill="1" applyAlignment="1">
      <alignment/>
    </xf>
    <xf numFmtId="3" fontId="8" fillId="34" borderId="11" xfId="92" applyNumberFormat="1" applyFont="1" applyFill="1" applyBorder="1" applyAlignment="1">
      <alignment vertical="center"/>
      <protection/>
    </xf>
    <xf numFmtId="0" fontId="32" fillId="34" borderId="0" xfId="0" applyFont="1" applyFill="1" applyAlignment="1">
      <alignment/>
    </xf>
    <xf numFmtId="0" fontId="102" fillId="33" borderId="0" xfId="92" applyFont="1" applyFill="1" applyAlignment="1">
      <alignment vertical="center"/>
      <protection/>
    </xf>
    <xf numFmtId="172" fontId="103" fillId="33" borderId="12" xfId="110" applyNumberFormat="1" applyFont="1" applyFill="1" applyBorder="1" applyAlignment="1">
      <alignment vertical="center"/>
    </xf>
    <xf numFmtId="0" fontId="104" fillId="33" borderId="0" xfId="92" applyFont="1" applyFill="1" applyAlignment="1">
      <alignment vertical="center"/>
      <protection/>
    </xf>
    <xf numFmtId="172" fontId="105" fillId="33" borderId="12" xfId="110" applyNumberFormat="1" applyFont="1" applyFill="1" applyBorder="1" applyAlignment="1">
      <alignment vertical="center"/>
    </xf>
    <xf numFmtId="0" fontId="106" fillId="33" borderId="0" xfId="92" applyFont="1" applyFill="1" applyAlignment="1">
      <alignment vertical="center"/>
      <protection/>
    </xf>
    <xf numFmtId="3" fontId="1" fillId="33" borderId="0" xfId="98" applyNumberFormat="1" applyFill="1" applyAlignment="1">
      <alignment vertical="center"/>
      <protection/>
    </xf>
    <xf numFmtId="3" fontId="1" fillId="33" borderId="0" xfId="98" applyNumberFormat="1" applyFont="1" applyFill="1" applyAlignment="1">
      <alignment vertical="center"/>
      <protection/>
    </xf>
    <xf numFmtId="3" fontId="11" fillId="33" borderId="0" xfId="98" applyNumberFormat="1" applyFont="1" applyFill="1" applyAlignment="1">
      <alignment vertical="center"/>
      <protection/>
    </xf>
    <xf numFmtId="3" fontId="7" fillId="0" borderId="12" xfId="98" applyNumberFormat="1" applyFont="1" applyFill="1" applyBorder="1" applyAlignment="1">
      <alignment horizontal="right" vertical="center"/>
      <protection/>
    </xf>
    <xf numFmtId="3" fontId="8" fillId="33" borderId="11" xfId="92" applyNumberFormat="1" applyFont="1" applyFill="1" applyBorder="1" applyAlignment="1">
      <alignment vertical="center"/>
      <protection/>
    </xf>
    <xf numFmtId="3" fontId="11" fillId="33" borderId="12" xfId="92" applyNumberFormat="1" applyFont="1" applyFill="1" applyBorder="1" applyAlignment="1">
      <alignment vertical="center"/>
      <protection/>
    </xf>
    <xf numFmtId="9" fontId="14" fillId="33" borderId="12" xfId="110" applyNumberFormat="1" applyFont="1" applyFill="1" applyBorder="1" applyAlignment="1">
      <alignment vertical="center"/>
    </xf>
    <xf numFmtId="3" fontId="11" fillId="33" borderId="11" xfId="92" applyNumberFormat="1" applyFont="1" applyFill="1" applyBorder="1" applyAlignment="1">
      <alignment vertical="center"/>
      <protection/>
    </xf>
    <xf numFmtId="172" fontId="11" fillId="33" borderId="12" xfId="110" applyNumberFormat="1" applyFont="1" applyFill="1" applyBorder="1" applyAlignment="1">
      <alignment vertical="center"/>
    </xf>
    <xf numFmtId="9" fontId="11" fillId="33" borderId="12" xfId="110" applyNumberFormat="1" applyFont="1" applyFill="1" applyBorder="1" applyAlignment="1">
      <alignment vertical="center"/>
    </xf>
    <xf numFmtId="10" fontId="14" fillId="33" borderId="11" xfId="110" applyNumberFormat="1" applyFont="1" applyFill="1" applyBorder="1" applyAlignment="1">
      <alignment horizontal="right" vertical="center"/>
    </xf>
    <xf numFmtId="0" fontId="14" fillId="33" borderId="10" xfId="92" applyFont="1" applyFill="1" applyBorder="1" applyAlignment="1">
      <alignment horizontal="center" vertical="center"/>
      <protection/>
    </xf>
    <xf numFmtId="0" fontId="32" fillId="33" borderId="12" xfId="92" applyFont="1" applyFill="1" applyBorder="1" applyAlignment="1">
      <alignment vertical="center" wrapText="1"/>
      <protection/>
    </xf>
    <xf numFmtId="172" fontId="14" fillId="33" borderId="12" xfId="110" applyNumberFormat="1" applyFont="1" applyFill="1" applyBorder="1" applyAlignment="1">
      <alignment vertical="center"/>
    </xf>
    <xf numFmtId="3" fontId="11" fillId="33" borderId="20" xfId="92" applyNumberFormat="1" applyFont="1" applyFill="1" applyBorder="1" applyAlignment="1">
      <alignment vertical="center"/>
      <protection/>
    </xf>
    <xf numFmtId="0" fontId="9" fillId="33" borderId="10" xfId="92" applyFont="1" applyFill="1" applyBorder="1" applyAlignment="1">
      <alignment horizontal="center" vertical="center"/>
      <protection/>
    </xf>
    <xf numFmtId="0" fontId="30" fillId="33" borderId="12" xfId="92" applyFont="1" applyFill="1" applyBorder="1" applyAlignment="1">
      <alignment vertical="center" wrapText="1"/>
      <protection/>
    </xf>
    <xf numFmtId="172" fontId="9" fillId="33" borderId="12" xfId="110" applyNumberFormat="1" applyFont="1" applyFill="1" applyBorder="1" applyAlignment="1">
      <alignment vertical="center"/>
    </xf>
    <xf numFmtId="0" fontId="46" fillId="33" borderId="20" xfId="92" applyFont="1" applyFill="1" applyBorder="1" applyAlignment="1">
      <alignment horizontal="center" vertical="center" wrapText="1"/>
      <protection/>
    </xf>
    <xf numFmtId="1" fontId="9" fillId="33" borderId="13" xfId="92" applyNumberFormat="1" applyFont="1" applyFill="1" applyBorder="1" applyAlignment="1">
      <alignment horizontal="center" vertical="center"/>
      <protection/>
    </xf>
    <xf numFmtId="0" fontId="30" fillId="33" borderId="11" xfId="92" applyFont="1" applyFill="1" applyBorder="1" applyAlignment="1">
      <alignment vertical="center"/>
      <protection/>
    </xf>
    <xf numFmtId="10" fontId="9" fillId="33" borderId="12" xfId="110" applyNumberFormat="1" applyFont="1" applyFill="1" applyBorder="1" applyAlignment="1">
      <alignment vertical="center"/>
    </xf>
    <xf numFmtId="3" fontId="30" fillId="33" borderId="20" xfId="92" applyNumberFormat="1" applyFont="1" applyFill="1" applyBorder="1" applyAlignment="1">
      <alignment vertical="center"/>
      <protection/>
    </xf>
    <xf numFmtId="0" fontId="14" fillId="33" borderId="13" xfId="92" applyFont="1" applyFill="1" applyBorder="1" applyAlignment="1">
      <alignment horizontal="center" vertical="center"/>
      <protection/>
    </xf>
    <xf numFmtId="0" fontId="32" fillId="33" borderId="11" xfId="92" applyFont="1" applyFill="1" applyBorder="1" applyAlignment="1">
      <alignment vertical="center"/>
      <protection/>
    </xf>
    <xf numFmtId="10" fontId="14" fillId="33" borderId="11" xfId="110" applyNumberFormat="1" applyFont="1" applyFill="1" applyBorder="1" applyAlignment="1">
      <alignment vertical="center"/>
    </xf>
    <xf numFmtId="0" fontId="32" fillId="33" borderId="20" xfId="92" applyFont="1" applyFill="1" applyBorder="1" applyAlignment="1">
      <alignment vertical="center"/>
      <protection/>
    </xf>
    <xf numFmtId="0" fontId="9" fillId="33" borderId="13" xfId="92" applyFont="1" applyFill="1" applyBorder="1" applyAlignment="1">
      <alignment horizontal="center" vertical="center"/>
      <protection/>
    </xf>
    <xf numFmtId="10" fontId="9" fillId="33" borderId="11" xfId="110" applyNumberFormat="1" applyFont="1" applyFill="1" applyBorder="1" applyAlignment="1">
      <alignment vertical="center"/>
    </xf>
    <xf numFmtId="0" fontId="30" fillId="33" borderId="20" xfId="92" applyFont="1" applyFill="1" applyBorder="1" applyAlignment="1">
      <alignment vertical="center"/>
      <protection/>
    </xf>
    <xf numFmtId="0" fontId="32" fillId="33" borderId="11" xfId="92" applyFont="1" applyFill="1" applyBorder="1" applyAlignment="1">
      <alignment vertical="center" wrapText="1"/>
      <protection/>
    </xf>
    <xf numFmtId="0" fontId="105" fillId="33" borderId="13" xfId="92" applyFont="1" applyFill="1" applyBorder="1" applyAlignment="1">
      <alignment horizontal="center" vertical="center"/>
      <protection/>
    </xf>
    <xf numFmtId="0" fontId="107" fillId="33" borderId="11" xfId="92" applyFont="1" applyFill="1" applyBorder="1" applyAlignment="1">
      <alignment vertical="center"/>
      <protection/>
    </xf>
    <xf numFmtId="3" fontId="81" fillId="33" borderId="11" xfId="92" applyNumberFormat="1" applyFont="1" applyFill="1" applyBorder="1" applyAlignment="1">
      <alignment vertical="center"/>
      <protection/>
    </xf>
    <xf numFmtId="10" fontId="105" fillId="33" borderId="11" xfId="110" applyNumberFormat="1" applyFont="1" applyFill="1" applyBorder="1" applyAlignment="1">
      <alignment horizontal="right" vertical="center"/>
    </xf>
    <xf numFmtId="172" fontId="105" fillId="33" borderId="11" xfId="110" applyNumberFormat="1" applyFont="1" applyFill="1" applyBorder="1" applyAlignment="1">
      <alignment vertical="center"/>
    </xf>
    <xf numFmtId="0" fontId="106" fillId="33" borderId="20" xfId="92" applyFont="1" applyFill="1" applyBorder="1" applyAlignment="1">
      <alignment vertical="center"/>
      <protection/>
    </xf>
    <xf numFmtId="172" fontId="81" fillId="33" borderId="11" xfId="110" applyNumberFormat="1" applyFont="1" applyFill="1" applyBorder="1" applyAlignment="1">
      <alignment horizontal="right" vertical="center"/>
    </xf>
    <xf numFmtId="0" fontId="108" fillId="33" borderId="20" xfId="92" applyFont="1" applyFill="1" applyBorder="1" applyAlignment="1">
      <alignment horizontal="center" vertical="center"/>
      <protection/>
    </xf>
    <xf numFmtId="0" fontId="107" fillId="33" borderId="11" xfId="92" applyFont="1" applyFill="1" applyBorder="1" applyAlignment="1">
      <alignment vertical="center" wrapText="1"/>
      <protection/>
    </xf>
    <xf numFmtId="172" fontId="109" fillId="33" borderId="11" xfId="110" applyNumberFormat="1" applyFont="1" applyFill="1" applyBorder="1" applyAlignment="1">
      <alignment horizontal="right" vertical="center"/>
    </xf>
    <xf numFmtId="0" fontId="107" fillId="33" borderId="20" xfId="92" applyFont="1" applyFill="1" applyBorder="1" applyAlignment="1">
      <alignment vertical="center"/>
      <protection/>
    </xf>
    <xf numFmtId="0" fontId="107" fillId="33" borderId="11" xfId="92" applyFont="1" applyFill="1" applyBorder="1" applyAlignment="1">
      <alignment horizontal="left" vertical="center" wrapText="1"/>
      <protection/>
    </xf>
    <xf numFmtId="0" fontId="108" fillId="33" borderId="20" xfId="92" applyFont="1" applyFill="1" applyBorder="1" applyAlignment="1">
      <alignment vertical="center"/>
      <protection/>
    </xf>
    <xf numFmtId="10" fontId="105" fillId="33" borderId="11" xfId="110" applyNumberFormat="1" applyFont="1" applyFill="1" applyBorder="1" applyAlignment="1">
      <alignment vertical="center"/>
    </xf>
    <xf numFmtId="10" fontId="105" fillId="33" borderId="12" xfId="110" applyNumberFormat="1" applyFont="1" applyFill="1" applyBorder="1" applyAlignment="1">
      <alignment vertical="center"/>
    </xf>
    <xf numFmtId="9" fontId="105" fillId="33" borderId="12" xfId="110" applyNumberFormat="1" applyFont="1" applyFill="1" applyBorder="1" applyAlignment="1">
      <alignment vertical="center"/>
    </xf>
    <xf numFmtId="172" fontId="105" fillId="33" borderId="11" xfId="110" applyNumberFormat="1" applyFont="1" applyFill="1" applyBorder="1" applyAlignment="1">
      <alignment horizontal="right" vertical="center"/>
    </xf>
    <xf numFmtId="169" fontId="11" fillId="33" borderId="11" xfId="41" applyNumberFormat="1" applyFont="1" applyFill="1" applyBorder="1" applyAlignment="1">
      <alignment vertical="center"/>
    </xf>
    <xf numFmtId="0" fontId="105" fillId="33" borderId="21" xfId="92" applyFont="1" applyFill="1" applyBorder="1" applyAlignment="1">
      <alignment horizontal="center" vertical="center"/>
      <protection/>
    </xf>
    <xf numFmtId="0" fontId="107" fillId="33" borderId="22" xfId="92" applyFont="1" applyFill="1" applyBorder="1" applyAlignment="1">
      <alignment vertical="center"/>
      <protection/>
    </xf>
    <xf numFmtId="3" fontId="81" fillId="33" borderId="22" xfId="92" applyNumberFormat="1" applyFont="1" applyFill="1" applyBorder="1" applyAlignment="1">
      <alignment vertical="center"/>
      <protection/>
    </xf>
    <xf numFmtId="3" fontId="11" fillId="33" borderId="22" xfId="92" applyNumberFormat="1" applyFont="1" applyFill="1" applyBorder="1" applyAlignment="1">
      <alignment vertical="center"/>
      <protection/>
    </xf>
    <xf numFmtId="172" fontId="105" fillId="33" borderId="22" xfId="110" applyNumberFormat="1" applyFont="1" applyFill="1" applyBorder="1" applyAlignment="1">
      <alignment vertical="center"/>
    </xf>
    <xf numFmtId="0" fontId="107" fillId="33" borderId="23" xfId="92" applyFont="1" applyFill="1" applyBorder="1" applyAlignment="1">
      <alignment vertical="center"/>
      <protection/>
    </xf>
    <xf numFmtId="0" fontId="10" fillId="33" borderId="0" xfId="92" applyFont="1" applyFill="1" applyAlignment="1">
      <alignment vertical="center"/>
      <protection/>
    </xf>
    <xf numFmtId="3" fontId="12" fillId="33" borderId="16" xfId="92" applyNumberFormat="1" applyFont="1" applyFill="1" applyBorder="1" applyAlignment="1">
      <alignment horizontal="center" vertical="center" wrapText="1"/>
      <protection/>
    </xf>
    <xf numFmtId="10" fontId="26" fillId="33" borderId="16" xfId="110" applyNumberFormat="1" applyFont="1" applyFill="1" applyBorder="1" applyAlignment="1">
      <alignment horizontal="center" vertical="center" wrapText="1"/>
    </xf>
    <xf numFmtId="10" fontId="12" fillId="33" borderId="16" xfId="110" applyNumberFormat="1" applyFont="1" applyFill="1" applyBorder="1" applyAlignment="1">
      <alignment horizontal="center" vertical="center" wrapText="1"/>
    </xf>
    <xf numFmtId="0" fontId="16" fillId="0" borderId="0" xfId="79">
      <alignment/>
      <protection/>
    </xf>
    <xf numFmtId="0" fontId="34" fillId="0" borderId="0" xfId="79" applyNumberFormat="1" applyFont="1" applyFill="1" applyBorder="1" applyAlignment="1" applyProtection="1">
      <alignment horizontal="left" vertical="top" wrapText="1"/>
      <protection/>
    </xf>
    <xf numFmtId="0" fontId="110" fillId="0" borderId="16" xfId="79" applyNumberFormat="1" applyFont="1" applyFill="1" applyBorder="1" applyAlignment="1" applyProtection="1">
      <alignment horizontal="center" vertical="center" wrapText="1"/>
      <protection/>
    </xf>
    <xf numFmtId="0" fontId="110" fillId="0" borderId="17" xfId="79" applyNumberFormat="1" applyFont="1" applyFill="1" applyBorder="1" applyAlignment="1" applyProtection="1">
      <alignment horizontal="center" vertical="center" wrapText="1"/>
      <protection/>
    </xf>
    <xf numFmtId="49" fontId="110" fillId="0" borderId="24" xfId="79" applyNumberFormat="1" applyFont="1" applyFill="1" applyBorder="1" applyAlignment="1" applyProtection="1">
      <alignment horizontal="left" vertical="center" wrapText="1"/>
      <protection/>
    </xf>
    <xf numFmtId="3" fontId="110" fillId="0" borderId="19" xfId="79" applyNumberFormat="1" applyFont="1" applyFill="1" applyBorder="1" applyAlignment="1" applyProtection="1">
      <alignment horizontal="right" vertical="center" wrapText="1"/>
      <protection/>
    </xf>
    <xf numFmtId="49" fontId="111" fillId="0" borderId="24" xfId="79" applyNumberFormat="1" applyFont="1" applyFill="1" applyBorder="1" applyAlignment="1" applyProtection="1">
      <alignment horizontal="left" vertical="center" wrapText="1"/>
      <protection/>
    </xf>
    <xf numFmtId="3" fontId="111" fillId="0" borderId="19" xfId="79" applyNumberFormat="1" applyFont="1" applyFill="1" applyBorder="1" applyAlignment="1" applyProtection="1">
      <alignment horizontal="right" vertical="center" wrapText="1"/>
      <protection/>
    </xf>
    <xf numFmtId="3" fontId="16" fillId="0" borderId="0" xfId="79" applyNumberFormat="1">
      <alignment/>
      <protection/>
    </xf>
    <xf numFmtId="49" fontId="110" fillId="0" borderId="0" xfId="79" applyNumberFormat="1" applyFont="1" applyFill="1" applyBorder="1" applyAlignment="1" applyProtection="1">
      <alignment horizontal="left" vertical="center" wrapText="1"/>
      <protection/>
    </xf>
    <xf numFmtId="3" fontId="110" fillId="0" borderId="0" xfId="79" applyNumberFormat="1" applyFont="1" applyFill="1" applyBorder="1" applyAlignment="1" applyProtection="1">
      <alignment horizontal="right" vertical="center" wrapText="1"/>
      <protection/>
    </xf>
    <xf numFmtId="0" fontId="45" fillId="0" borderId="0" xfId="79" applyNumberFormat="1" applyFont="1" applyFill="1" applyBorder="1" applyAlignment="1" applyProtection="1">
      <alignment horizontal="center" vertical="center" wrapText="1"/>
      <protection/>
    </xf>
    <xf numFmtId="0" fontId="47" fillId="0" borderId="0" xfId="79" applyFont="1">
      <alignment/>
      <protection/>
    </xf>
    <xf numFmtId="0" fontId="34" fillId="0" borderId="0" xfId="79" applyNumberFormat="1" applyFont="1" applyFill="1" applyBorder="1" applyAlignment="1" applyProtection="1">
      <alignment horizontal="center" vertical="top" wrapText="1"/>
      <protection/>
    </xf>
    <xf numFmtId="49" fontId="110" fillId="0" borderId="19" xfId="79" applyNumberFormat="1" applyFont="1" applyFill="1" applyBorder="1" applyAlignment="1" applyProtection="1">
      <alignment horizontal="center" vertical="center" wrapText="1"/>
      <protection/>
    </xf>
    <xf numFmtId="49" fontId="111" fillId="0" borderId="19" xfId="79" applyNumberFormat="1" applyFont="1" applyFill="1" applyBorder="1" applyAlignment="1" applyProtection="1">
      <alignment horizontal="center" vertical="center" wrapText="1"/>
      <protection/>
    </xf>
    <xf numFmtId="49" fontId="110" fillId="0" borderId="0" xfId="79" applyNumberFormat="1" applyFont="1" applyFill="1" applyBorder="1" applyAlignment="1" applyProtection="1">
      <alignment horizontal="center" vertical="center" wrapText="1"/>
      <protection/>
    </xf>
    <xf numFmtId="0" fontId="16" fillId="0" borderId="0" xfId="79" applyAlignment="1">
      <alignment horizontal="center"/>
      <protection/>
    </xf>
    <xf numFmtId="0" fontId="112" fillId="0" borderId="0" xfId="79" applyFont="1">
      <alignment/>
      <protection/>
    </xf>
    <xf numFmtId="0" fontId="112" fillId="0" borderId="0" xfId="79" applyFont="1" applyAlignment="1">
      <alignment horizontal="center"/>
      <protection/>
    </xf>
    <xf numFmtId="0" fontId="15" fillId="33" borderId="0" xfId="92" applyFont="1" applyFill="1" applyAlignment="1">
      <alignment horizontal="center" vertical="center"/>
      <protection/>
    </xf>
    <xf numFmtId="0" fontId="113" fillId="0" borderId="0" xfId="98" applyFont="1" applyFill="1" applyAlignment="1">
      <alignment horizontal="center" vertical="center"/>
      <protection/>
    </xf>
    <xf numFmtId="3" fontId="114" fillId="33" borderId="12" xfId="110" applyNumberFormat="1" applyFont="1" applyFill="1" applyBorder="1" applyAlignment="1">
      <alignment vertical="center"/>
    </xf>
    <xf numFmtId="0" fontId="115" fillId="0" borderId="0" xfId="79" applyFont="1" applyAlignment="1">
      <alignment horizontal="left"/>
      <protection/>
    </xf>
    <xf numFmtId="0" fontId="112" fillId="0" borderId="0" xfId="79" applyFont="1" applyAlignment="1">
      <alignment horizontal="left"/>
      <protection/>
    </xf>
    <xf numFmtId="0" fontId="116" fillId="0" borderId="0" xfId="79" applyNumberFormat="1" applyFont="1" applyFill="1" applyBorder="1" applyAlignment="1" applyProtection="1">
      <alignment horizontal="left" vertical="center" wrapText="1"/>
      <protection/>
    </xf>
    <xf numFmtId="0" fontId="117" fillId="0" borderId="0" xfId="79" applyNumberFormat="1" applyFont="1" applyFill="1" applyBorder="1" applyAlignment="1" applyProtection="1">
      <alignment horizontal="left" vertical="center" wrapText="1"/>
      <protection/>
    </xf>
    <xf numFmtId="0" fontId="117" fillId="0" borderId="0" xfId="79" applyNumberFormat="1" applyFont="1" applyFill="1" applyBorder="1" applyAlignment="1" applyProtection="1">
      <alignment horizontal="left" vertical="top" wrapText="1"/>
      <protection/>
    </xf>
    <xf numFmtId="0" fontId="118" fillId="0" borderId="0" xfId="79" applyNumberFormat="1" applyFont="1" applyFill="1" applyBorder="1" applyAlignment="1" applyProtection="1">
      <alignment horizontal="center" vertical="center" wrapText="1"/>
      <protection/>
    </xf>
    <xf numFmtId="0" fontId="111" fillId="0" borderId="0" xfId="79" applyNumberFormat="1" applyFont="1" applyFill="1" applyBorder="1" applyAlignment="1" applyProtection="1">
      <alignment horizontal="center" vertical="center" wrapText="1"/>
      <protection/>
    </xf>
    <xf numFmtId="0" fontId="112" fillId="0" borderId="0" xfId="79" applyNumberFormat="1" applyFont="1" applyFill="1" applyBorder="1" applyAlignment="1" applyProtection="1">
      <alignment horizontal="right" vertical="center" wrapText="1"/>
      <protection/>
    </xf>
    <xf numFmtId="0" fontId="117" fillId="0" borderId="0" xfId="79" applyNumberFormat="1" applyFont="1" applyFill="1" applyBorder="1" applyAlignment="1" applyProtection="1">
      <alignment horizontal="right" vertical="center" wrapText="1"/>
      <protection/>
    </xf>
    <xf numFmtId="0" fontId="45" fillId="0" borderId="0" xfId="79" applyNumberFormat="1" applyFont="1" applyFill="1" applyBorder="1" applyAlignment="1" applyProtection="1">
      <alignment horizontal="center" vertical="center" wrapText="1"/>
      <protection/>
    </xf>
    <xf numFmtId="0" fontId="26" fillId="33" borderId="0" xfId="92" applyFont="1" applyFill="1" applyAlignment="1">
      <alignment horizontal="center" vertical="center"/>
      <protection/>
    </xf>
    <xf numFmtId="10" fontId="26" fillId="33" borderId="0" xfId="110" applyNumberFormat="1" applyFont="1" applyFill="1" applyAlignment="1">
      <alignment horizontal="center" vertical="center"/>
    </xf>
    <xf numFmtId="0" fontId="14" fillId="33" borderId="0" xfId="92" applyFont="1" applyFill="1" applyAlignment="1">
      <alignment horizontal="center" vertical="center"/>
      <protection/>
    </xf>
    <xf numFmtId="10" fontId="14" fillId="33" borderId="0" xfId="110" applyNumberFormat="1" applyFont="1" applyFill="1" applyAlignment="1">
      <alignment horizontal="center" vertical="center"/>
    </xf>
    <xf numFmtId="0" fontId="26" fillId="33" borderId="0" xfId="92" applyFont="1" applyFill="1" applyAlignment="1">
      <alignment horizontal="left" vertical="center" wrapText="1"/>
      <protection/>
    </xf>
    <xf numFmtId="3" fontId="15" fillId="33" borderId="0" xfId="92" applyNumberFormat="1" applyFont="1" applyFill="1" applyAlignment="1">
      <alignment horizontal="right" vertical="center"/>
      <protection/>
    </xf>
    <xf numFmtId="0" fontId="10" fillId="33" borderId="0" xfId="92" applyFont="1" applyFill="1" applyAlignment="1">
      <alignment horizontal="center" vertical="center"/>
      <protection/>
    </xf>
    <xf numFmtId="0" fontId="26" fillId="33" borderId="25" xfId="92" applyFont="1" applyFill="1" applyBorder="1" applyAlignment="1">
      <alignment horizontal="center" vertical="center" wrapText="1"/>
      <protection/>
    </xf>
    <xf numFmtId="0" fontId="26" fillId="33" borderId="15" xfId="92" applyFont="1" applyFill="1" applyBorder="1" applyAlignment="1">
      <alignment horizontal="center" vertical="center" wrapText="1"/>
      <protection/>
    </xf>
    <xf numFmtId="0" fontId="26" fillId="33" borderId="26" xfId="92" applyFont="1" applyFill="1" applyBorder="1" applyAlignment="1">
      <alignment horizontal="center" vertical="center" wrapText="1"/>
      <protection/>
    </xf>
    <xf numFmtId="0" fontId="26" fillId="33" borderId="16" xfId="92" applyFont="1" applyFill="1" applyBorder="1" applyAlignment="1">
      <alignment horizontal="center" vertical="center" wrapText="1"/>
      <protection/>
    </xf>
    <xf numFmtId="10" fontId="28" fillId="33" borderId="27" xfId="110" applyNumberFormat="1" applyFont="1" applyFill="1" applyBorder="1" applyAlignment="1">
      <alignment horizontal="center" vertical="center" wrapText="1"/>
    </xf>
    <xf numFmtId="10" fontId="28" fillId="33" borderId="28" xfId="110" applyNumberFormat="1" applyFont="1" applyFill="1" applyBorder="1" applyAlignment="1">
      <alignment horizontal="center" vertical="center" wrapText="1"/>
    </xf>
    <xf numFmtId="0" fontId="12" fillId="33" borderId="29" xfId="92" applyFont="1" applyFill="1" applyBorder="1" applyAlignment="1">
      <alignment horizontal="center" vertical="center" wrapText="1"/>
      <protection/>
    </xf>
    <xf numFmtId="0" fontId="12" fillId="33" borderId="20" xfId="92" applyFont="1" applyFill="1" applyBorder="1" applyAlignment="1">
      <alignment horizontal="center" vertical="center" wrapText="1"/>
      <protection/>
    </xf>
    <xf numFmtId="3" fontId="12" fillId="33" borderId="30" xfId="92" applyNumberFormat="1" applyFont="1" applyFill="1" applyBorder="1" applyAlignment="1">
      <alignment horizontal="center" vertical="center" wrapText="1"/>
      <protection/>
    </xf>
    <xf numFmtId="0" fontId="8" fillId="33" borderId="31" xfId="92" applyFont="1" applyFill="1" applyBorder="1" applyAlignment="1">
      <alignment horizontal="center" vertical="center"/>
      <protection/>
    </xf>
    <xf numFmtId="0" fontId="48" fillId="33" borderId="0" xfId="92" applyFont="1" applyFill="1" applyAlignment="1">
      <alignment horizontal="center" vertical="center"/>
      <protection/>
    </xf>
    <xf numFmtId="0" fontId="10" fillId="0" borderId="0" xfId="98" applyFont="1" applyFill="1" applyAlignment="1">
      <alignment horizontal="center" vertical="center"/>
      <protection/>
    </xf>
    <xf numFmtId="0" fontId="10" fillId="0" borderId="0" xfId="98" applyFont="1" applyFill="1" applyAlignment="1">
      <alignment horizontal="left" vertical="center"/>
      <protection/>
    </xf>
    <xf numFmtId="0" fontId="33" fillId="0" borderId="0" xfId="98" applyFont="1" applyFill="1" applyAlignment="1">
      <alignment horizontal="center" vertical="center" wrapText="1"/>
      <protection/>
    </xf>
    <xf numFmtId="0" fontId="23" fillId="0" borderId="0" xfId="98" applyFont="1" applyFill="1" applyAlignment="1">
      <alignment horizontal="right" vertical="center" wrapText="1"/>
      <protection/>
    </xf>
    <xf numFmtId="0" fontId="6" fillId="0" borderId="0" xfId="98" applyFont="1" applyFill="1" applyAlignment="1">
      <alignment horizontal="center" vertical="center"/>
      <protection/>
    </xf>
    <xf numFmtId="0" fontId="9" fillId="0" borderId="0" xfId="98" applyFont="1" applyFill="1" applyBorder="1" applyAlignment="1">
      <alignment horizontal="right" vertical="center" wrapText="1"/>
      <protection/>
    </xf>
    <xf numFmtId="0" fontId="25" fillId="0" borderId="32" xfId="98" applyFont="1" applyFill="1" applyBorder="1" applyAlignment="1">
      <alignment horizontal="center" vertical="center"/>
      <protection/>
    </xf>
    <xf numFmtId="0" fontId="25" fillId="0" borderId="14" xfId="98" applyFont="1" applyFill="1" applyBorder="1" applyAlignment="1">
      <alignment horizontal="center" vertical="center"/>
      <protection/>
    </xf>
    <xf numFmtId="0" fontId="119" fillId="0" borderId="0" xfId="98" applyFont="1" applyFill="1" applyAlignment="1">
      <alignment horizontal="center" vertical="center"/>
      <protection/>
    </xf>
    <xf numFmtId="0" fontId="45" fillId="0" borderId="0" xfId="92" applyNumberFormat="1" applyFont="1" applyFill="1" applyBorder="1" applyAlignment="1" applyProtection="1">
      <alignment horizontal="right" vertical="center" wrapText="1"/>
      <protection/>
    </xf>
    <xf numFmtId="0" fontId="44" fillId="0" borderId="24" xfId="92" applyNumberFormat="1" applyFont="1" applyFill="1" applyBorder="1" applyAlignment="1" applyProtection="1">
      <alignment horizontal="left" vertical="center" wrapText="1"/>
      <protection/>
    </xf>
    <xf numFmtId="3" fontId="44" fillId="0" borderId="19" xfId="92" applyNumberFormat="1" applyFont="1" applyFill="1" applyBorder="1" applyAlignment="1" applyProtection="1">
      <alignment horizontal="right" vertical="center" wrapText="1"/>
      <protection/>
    </xf>
    <xf numFmtId="0" fontId="45" fillId="0" borderId="0" xfId="92" applyNumberFormat="1" applyFont="1" applyFill="1" applyBorder="1" applyAlignment="1" applyProtection="1">
      <alignment horizontal="center" vertical="center" wrapText="1"/>
      <protection/>
    </xf>
    <xf numFmtId="49" fontId="44" fillId="0" borderId="24" xfId="92" applyNumberFormat="1" applyFont="1" applyFill="1" applyBorder="1" applyAlignment="1" applyProtection="1">
      <alignment horizontal="left" vertical="center" wrapText="1"/>
      <protection/>
    </xf>
    <xf numFmtId="49" fontId="44" fillId="0" borderId="19" xfId="92" applyNumberFormat="1" applyFont="1" applyFill="1" applyBorder="1" applyAlignment="1" applyProtection="1">
      <alignment horizontal="left" vertical="center" wrapText="1"/>
      <protection/>
    </xf>
    <xf numFmtId="49" fontId="45" fillId="0" borderId="24" xfId="92" applyNumberFormat="1" applyFont="1" applyFill="1" applyBorder="1" applyAlignment="1" applyProtection="1">
      <alignment horizontal="left" vertical="center" wrapText="1"/>
      <protection/>
    </xf>
    <xf numFmtId="49" fontId="45" fillId="0" borderId="19" xfId="92" applyNumberFormat="1" applyFont="1" applyFill="1" applyBorder="1" applyAlignment="1" applyProtection="1">
      <alignment horizontal="left" vertical="center" wrapText="1"/>
      <protection/>
    </xf>
    <xf numFmtId="3" fontId="45" fillId="0" borderId="19" xfId="92" applyNumberFormat="1" applyFont="1" applyFill="1" applyBorder="1" applyAlignment="1" applyProtection="1">
      <alignment horizontal="right" vertical="center" wrapText="1"/>
      <protection/>
    </xf>
    <xf numFmtId="49" fontId="45" fillId="34" borderId="19" xfId="92" applyNumberFormat="1" applyFont="1" applyFill="1" applyBorder="1" applyAlignment="1" applyProtection="1">
      <alignment horizontal="left" vertical="center" wrapText="1"/>
      <protection/>
    </xf>
    <xf numFmtId="3" fontId="45" fillId="34" borderId="19" xfId="92" applyNumberFormat="1" applyFont="1" applyFill="1" applyBorder="1" applyAlignment="1" applyProtection="1">
      <alignment horizontal="right" vertical="center" wrapText="1"/>
      <protection/>
    </xf>
    <xf numFmtId="0" fontId="39" fillId="0" borderId="0" xfId="92" applyNumberFormat="1" applyFont="1" applyFill="1" applyBorder="1" applyAlignment="1" applyProtection="1">
      <alignment horizontal="right" vertical="center" wrapText="1"/>
      <protection/>
    </xf>
    <xf numFmtId="0" fontId="42" fillId="0" borderId="33" xfId="92" applyNumberFormat="1" applyFont="1" applyFill="1" applyBorder="1" applyAlignment="1" applyProtection="1">
      <alignment horizontal="center" vertical="center" wrapText="1"/>
      <protection/>
    </xf>
    <xf numFmtId="0" fontId="42" fillId="0" borderId="34" xfId="92" applyNumberFormat="1" applyFont="1" applyFill="1" applyBorder="1" applyAlignment="1" applyProtection="1">
      <alignment horizontal="center" vertical="center" wrapText="1"/>
      <protection/>
    </xf>
    <xf numFmtId="0" fontId="42" fillId="0" borderId="17" xfId="92" applyNumberFormat="1" applyFont="1" applyFill="1" applyBorder="1" applyAlignment="1" applyProtection="1">
      <alignment horizontal="center" vertical="center" wrapText="1"/>
      <protection/>
    </xf>
    <xf numFmtId="0" fontId="43" fillId="0" borderId="24" xfId="92" applyNumberFormat="1" applyFont="1" applyFill="1" applyBorder="1" applyAlignment="1" applyProtection="1">
      <alignment horizontal="center" vertical="center" wrapText="1"/>
      <protection/>
    </xf>
    <xf numFmtId="0" fontId="43" fillId="0" borderId="19" xfId="92" applyNumberFormat="1" applyFont="1" applyFill="1" applyBorder="1" applyAlignment="1" applyProtection="1">
      <alignment horizontal="center" vertical="center" wrapText="1"/>
      <protection/>
    </xf>
    <xf numFmtId="0" fontId="39" fillId="0" borderId="0" xfId="92" applyNumberFormat="1" applyFont="1" applyFill="1" applyBorder="1" applyAlignment="1" applyProtection="1">
      <alignment horizontal="left" vertical="center" wrapText="1"/>
      <protection/>
    </xf>
    <xf numFmtId="0" fontId="34" fillId="0" borderId="0" xfId="92" applyNumberFormat="1" applyFont="1" applyFill="1" applyBorder="1" applyAlignment="1" applyProtection="1">
      <alignment horizontal="left" vertical="top" wrapText="1"/>
      <protection/>
    </xf>
    <xf numFmtId="0" fontId="40" fillId="0" borderId="0" xfId="92" applyNumberFormat="1" applyFont="1" applyFill="1" applyBorder="1" applyAlignment="1" applyProtection="1">
      <alignment horizontal="left" vertical="center" wrapText="1"/>
      <protection/>
    </xf>
    <xf numFmtId="0" fontId="41" fillId="0" borderId="0" xfId="92" applyNumberFormat="1" applyFont="1" applyFill="1" applyBorder="1" applyAlignment="1" applyProtection="1">
      <alignment horizontal="center" vertical="center" wrapText="1"/>
      <protection/>
    </xf>
    <xf numFmtId="0" fontId="39" fillId="0" borderId="0" xfId="92" applyNumberFormat="1" applyFont="1" applyFill="1" applyBorder="1" applyAlignment="1" applyProtection="1">
      <alignment horizontal="center" vertical="center" wrapText="1"/>
      <protection/>
    </xf>
    <xf numFmtId="0" fontId="40" fillId="0" borderId="0" xfId="92" applyNumberFormat="1" applyFont="1" applyFill="1" applyBorder="1" applyAlignment="1" applyProtection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4" xfId="45"/>
    <cellStyle name="Comma 5" xfId="46"/>
    <cellStyle name="Comma 6" xfId="47"/>
    <cellStyle name="Comma 7" xfId="48"/>
    <cellStyle name="Comma0" xfId="49"/>
    <cellStyle name="Currency" xfId="50"/>
    <cellStyle name="Currency [0]" xfId="51"/>
    <cellStyle name="Currency0" xfId="52"/>
    <cellStyle name="Check Cell" xfId="53"/>
    <cellStyle name="Date" xfId="54"/>
    <cellStyle name="Explanatory Text" xfId="55"/>
    <cellStyle name="Fixed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- Style1" xfId="67"/>
    <cellStyle name="Normal 10" xfId="68"/>
    <cellStyle name="Normal 11" xfId="69"/>
    <cellStyle name="Normal 12" xfId="70"/>
    <cellStyle name="Normal 13" xfId="71"/>
    <cellStyle name="Normal 14" xfId="72"/>
    <cellStyle name="Normal 15" xfId="73"/>
    <cellStyle name="Normal 16" xfId="74"/>
    <cellStyle name="Normal 17" xfId="75"/>
    <cellStyle name="Normal 18" xfId="76"/>
    <cellStyle name="Normal 19" xfId="77"/>
    <cellStyle name="Normal 2" xfId="78"/>
    <cellStyle name="Normal 2 2" xfId="79"/>
    <cellStyle name="Normal 2 3" xfId="80"/>
    <cellStyle name="Normal 2 4" xfId="81"/>
    <cellStyle name="Normal 20" xfId="82"/>
    <cellStyle name="Normal 21" xfId="83"/>
    <cellStyle name="Normal 22" xfId="84"/>
    <cellStyle name="Normal 23" xfId="85"/>
    <cellStyle name="Normal 24" xfId="86"/>
    <cellStyle name="Normal 25" xfId="87"/>
    <cellStyle name="Normal 26" xfId="88"/>
    <cellStyle name="Normal 27" xfId="89"/>
    <cellStyle name="Normal 28" xfId="90"/>
    <cellStyle name="Normal 29" xfId="91"/>
    <cellStyle name="Normal 3" xfId="92"/>
    <cellStyle name="Normal 30" xfId="93"/>
    <cellStyle name="Normal 31" xfId="94"/>
    <cellStyle name="Normal 32" xfId="95"/>
    <cellStyle name="Normal 33" xfId="96"/>
    <cellStyle name="Normal 34" xfId="97"/>
    <cellStyle name="Normal 4" xfId="98"/>
    <cellStyle name="Normal 5" xfId="99"/>
    <cellStyle name="Normal 6" xfId="100"/>
    <cellStyle name="Normal 7" xfId="101"/>
    <cellStyle name="Normal 7 2" xfId="102"/>
    <cellStyle name="Normal 8" xfId="103"/>
    <cellStyle name="Normal 8 2" xfId="104"/>
    <cellStyle name="Normal 9" xfId="105"/>
    <cellStyle name="Note" xfId="106"/>
    <cellStyle name="Output" xfId="107"/>
    <cellStyle name="Percent" xfId="108"/>
    <cellStyle name="Percent 2" xfId="109"/>
    <cellStyle name="Percent 3" xfId="110"/>
    <cellStyle name="Percent 4" xfId="111"/>
    <cellStyle name="Title" xfId="112"/>
    <cellStyle name="Total" xfId="113"/>
    <cellStyle name="Warning Text" xfId="114"/>
    <cellStyle name="똿뗦먛귟 [0.00]_PRODUCT DETAIL Q1" xfId="115"/>
    <cellStyle name="똿뗦먛귟_PRODUCT DETAIL Q1" xfId="116"/>
    <cellStyle name="믅됞 [0.00]_PRODUCT DETAIL Q1" xfId="117"/>
    <cellStyle name="믅됞_PRODUCT DETAIL Q1" xfId="118"/>
    <cellStyle name="백분율_HOBONG" xfId="119"/>
    <cellStyle name="뷭?_BOOKSHIP" xfId="120"/>
    <cellStyle name="콤마 [0]_1202" xfId="121"/>
    <cellStyle name="콤마_1202" xfId="122"/>
    <cellStyle name="통화 [0]_1202" xfId="123"/>
    <cellStyle name="통화_1202" xfId="124"/>
    <cellStyle name="표준_(정보부문)월별인원계획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Giang\AppData\Local\Temp\Rar$DIa0.806\KHKD%20Dich%20vu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Giang\AppData\Local\Temp\Rar$DIa0.806\ll&#173;u%20t&#202;t%20c&#182;\cuong1\hsdt\My%20Documents\B-CAOQ~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u&#184;n%202001-2005\Tu&#202;n%20quy&#213;t%20to&#184;n%20c&#184;c%20c&#171;ng%20tr&#215;nh%20XDCB\TG%20Vin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giangnt\AppData\Local\Temp\Rar$DIa0.945\bang%20ke%20632%2012_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giangnt\AppData\Local\Temp\Rar$DIa0.945\bang%20ke%20642%2012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 Tong 2014"/>
      <sheetName val="Dich vu 2014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Sheet2"/>
      <sheetName val="Sheet3"/>
      <sheetName val="Sheet4"/>
      <sheetName val="Sheet5"/>
      <sheetName val="XL4Test5"/>
      <sheetName val="TONG HOP"/>
      <sheetName val="BIA HUDA CHAI"/>
      <sheetName val="BIA HUDA LON"/>
      <sheetName val="BIA SG 450"/>
      <sheetName val="BIA SG 330"/>
      <sheetName val="BIA HENIKEN 330"/>
      <sheetName val="BG SUNNY 100g"/>
      <sheetName val="BG SUNNY 200g"/>
      <sheetName val="BG MEO 500g"/>
      <sheetName val="BG SOPHA 200g"/>
      <sheetName val="BG SUNNEW 100g"/>
      <sheetName val="BG SUNNEW 200g"/>
      <sheetName val="BG SUNNEW 500g"/>
      <sheetName val="BG ISO 400g "/>
      <sheetName val="BG ISO 180g"/>
      <sheetName val="PIN DEN CON VOI"/>
      <sheetName val="LOP OTO 500-12"/>
      <sheetName val="LOP OTO 700-16"/>
      <sheetName val="LOP OTO 840-15"/>
      <sheetName val="LOP OTO 900-20 DN"/>
      <sheetName val="LOP OTO 1000-20 DN"/>
      <sheetName val="LOP OTO 1100-20 DN"/>
      <sheetName val="LOP OTO 1200-20 DN"/>
      <sheetName val="LOP SIAM 900"/>
      <sheetName val="LOP SIAM 1000"/>
      <sheetName val="LOP SIAM 1100"/>
      <sheetName val="SAM OTO 1000-20 DN"/>
      <sheetName val="SAM OTO 1100-20 DN"/>
      <sheetName val="SAM OTO 1200-20 DN"/>
      <sheetName val="YEM OTO 1100-20"/>
      <sheetName val="YEM OTO 1200-20"/>
      <sheetName val="ACQUY 50 A"/>
      <sheetName val="ACQUY 70 A"/>
      <sheetName val="ACQUY 100 A"/>
      <sheetName val="ACQUY 120 A"/>
      <sheetName val="ACQUY 150 A"/>
      <sheetName val="ACQUY 200 A"/>
      <sheetName val="TL BASTOR"/>
      <sheetName val="TL ERA DO"/>
      <sheetName val="TL ERA XANH"/>
      <sheetName val="TL NGUA TRANG"/>
      <sheetName val="TL DALAT DO"/>
      <sheetName val="TL DA LAT XANH"/>
      <sheetName val="TL BLU XANH"/>
      <sheetName val="Tl CHO LON"/>
      <sheetName val="MI TALIFOOD"/>
      <sheetName val="MI  SAFOOD"/>
      <sheetName val="PHO BO GA"/>
      <sheetName val="MI BO RAU THOM"/>
      <sheetName val="MI  30 GOI"/>
      <sheetName val="MI BO BIT TET"/>
      <sheetName val="MI LAU THAI"/>
      <sheetName val="MI PH DONG DO"/>
      <sheetName val="NHUA LA PHONG "/>
      <sheetName val="KEO XOP CHANH"/>
      <sheetName val="SAT  4"/>
      <sheetName val="SAT 6"/>
      <sheetName val="SAT 8"/>
      <sheetName val="SAT 10"/>
      <sheetName val="SAT 12"/>
      <sheetName val="THEP BUOC"/>
      <sheetName val="KEM GAI"/>
      <sheetName val="THEP LUOI B40"/>
      <sheetName val="NHOM LA"/>
      <sheetName val="CAN N 5 LIT"/>
      <sheetName val="CAN N 20 LIT"/>
      <sheetName val="CAN N 30 LIT"/>
      <sheetName val="NI LONG (VAI N PVC)"/>
      <sheetName val="N- RUA SUMMER"/>
      <sheetName val="N- RUA SUPER 500 ml"/>
      <sheetName val="N- RUA TLONG"/>
      <sheetName val="DAY DIEN BOC PVC "/>
      <sheetName val="VO (GIAY TRANG)"/>
      <sheetName val="TON KEM"/>
      <sheetName val="QUAT TREO TUONG"/>
      <sheetName val="SUA DAC DD"/>
      <sheetName val="SUATUOI CO DUONG"/>
      <sheetName val="SUA PN XANH"/>
      <sheetName val="SUA ONG THO DO"/>
      <sheetName val="SUA BOT RILAC NGOT"/>
      <sheetName val="SUA  BOT RILAC MAN"/>
      <sheetName val="SUA PHINO"/>
      <sheetName val="SUA BOT 1,2,3"/>
      <sheetName val="MILO 200g"/>
      <sheetName val="MILO HOP 300g"/>
      <sheetName val="MILO 400g"/>
      <sheetName val="NUOC SAM YEN"/>
      <sheetName val="CAFE NET 20 goi"/>
      <sheetName val="CAFE NET 50 goi"/>
      <sheetName val="THTN"/>
      <sheetName val="DT0156"/>
      <sheetName val="CL0156"/>
      <sheetName val="DT0559"/>
      <sheetName val="CL0559"/>
      <sheetName val="DT0720"/>
      <sheetName val="CL0720"/>
      <sheetName val="DT0829"/>
      <sheetName val="CL0829"/>
      <sheetName val="DT0998"/>
      <sheetName val="CL0998"/>
      <sheetName val="TN01"/>
      <sheetName val="DT1110"/>
      <sheetName val="CL1110"/>
      <sheetName val="DT1207"/>
      <sheetName val="CL1027"/>
      <sheetName val="DT1253"/>
      <sheetName val="CL1253"/>
      <sheetName val="DT1472"/>
      <sheetName val="CL1472"/>
      <sheetName val="DT1595"/>
      <sheetName val="CL1595"/>
      <sheetName val="DT1797"/>
      <sheetName val="CL1797"/>
      <sheetName val="DT1850"/>
      <sheetName val="CL1850"/>
      <sheetName val="DT1924"/>
      <sheetName val="CL1924"/>
      <sheetName val="TN12"/>
      <sheetName val="DT2009"/>
      <sheetName val="CL2009"/>
      <sheetName val="DT2828"/>
      <sheetName val="CL2828"/>
      <sheetName val="DT2895"/>
      <sheetName val="CL2895"/>
      <sheetName val="DT2978"/>
      <sheetName val="CL2978"/>
      <sheetName val="TN23"/>
      <sheetName val="DT3080"/>
      <sheetName val="CL3080"/>
      <sheetName val="DT3235"/>
      <sheetName val="CL3235"/>
      <sheetName val="DT3440"/>
      <sheetName val="CL3440"/>
      <sheetName val="DT3536"/>
      <sheetName val="CL3536"/>
      <sheetName val="DT3625"/>
      <sheetName val="CL3625"/>
      <sheetName val="DT3680"/>
      <sheetName val="CL3680"/>
      <sheetName val="DT3714"/>
      <sheetName val="CL3714"/>
      <sheetName val="DT3730"/>
      <sheetName val="CL3730"/>
      <sheetName val="DT3976"/>
      <sheetName val="CL3976"/>
      <sheetName val="TN34"/>
      <sheetName val="DT4084"/>
      <sheetName val="CL4084"/>
      <sheetName val="DT4172"/>
      <sheetName val="CL4172"/>
      <sheetName val="DT4386"/>
      <sheetName val="CL4386"/>
      <sheetName val="DT4492"/>
      <sheetName val="CL4492"/>
      <sheetName val="DT4509"/>
      <sheetName val="CL4509"/>
      <sheetName val="DT4680"/>
      <sheetName val="CL4680"/>
      <sheetName val="DT4792"/>
      <sheetName val="CL4792"/>
      <sheetName val="DT4974"/>
      <sheetName val="CL4974"/>
      <sheetName val="TN45"/>
      <sheetName val="DT5435"/>
      <sheetName val="CL5435"/>
      <sheetName val="DT5578"/>
      <sheetName val="CL5578"/>
      <sheetName val="DT5679"/>
      <sheetName val="CL5679"/>
      <sheetName val="DT5786"/>
      <sheetName val="CL5786"/>
      <sheetName val="TN56"/>
      <sheetName val="DT6031"/>
      <sheetName val="CL6031"/>
      <sheetName val="DT6463"/>
      <sheetName val="CL6463"/>
      <sheetName val="DT6653"/>
      <sheetName val="CL6653"/>
      <sheetName val="DT6676"/>
      <sheetName val="CL6676"/>
      <sheetName val="DT6803"/>
      <sheetName val="CL6803"/>
      <sheetName val="DT6918"/>
      <sheetName val="CL6918"/>
      <sheetName val="TN67"/>
      <sheetName val="DT7067"/>
      <sheetName val="CL7067"/>
      <sheetName val="DT7181"/>
      <sheetName val="CL7181"/>
      <sheetName val="DT7263"/>
      <sheetName val="CL7263"/>
      <sheetName val="DT7547"/>
      <sheetName val="CL7547"/>
      <sheetName val="DT7786"/>
      <sheetName val="CL7786"/>
      <sheetName val="DT7806"/>
      <sheetName val="CL7806"/>
      <sheetName val="DT7961"/>
      <sheetName val="CL7961"/>
      <sheetName val="TN78"/>
      <sheetName val="DT8118"/>
      <sheetName val="CL8118"/>
      <sheetName val="DT8163"/>
      <sheetName val="CL8163"/>
      <sheetName val="DT8391"/>
      <sheetName val="CL8391"/>
      <sheetName val="DT8654"/>
      <sheetName val="CL8654"/>
      <sheetName val="TN8C"/>
      <sheetName val="XLCau1"/>
      <sheetName val="DTCAU1"/>
      <sheetName val="CLCau1"/>
      <sheetName val="XLCau3"/>
      <sheetName val="DTCAU3"/>
      <sheetName val="CLCau3"/>
      <sheetName val="CVC"/>
      <sheetName val="CVCda"/>
      <sheetName val="Bang ve"/>
      <sheetName val="Bang tong ke"/>
      <sheetName val="Liet ke vat tu"/>
      <sheetName val="Solieu"/>
      <sheetName val="TMC"/>
      <sheetName val="TMDT"/>
      <sheetName val="GiaQuyen"/>
      <sheetName val="TONG"/>
      <sheetName val="THXL"/>
      <sheetName val="GT"/>
      <sheetName val="chitiet"/>
      <sheetName val="DG"/>
      <sheetName val="ThuHoiVT"/>
      <sheetName val="vc"/>
      <sheetName val="VCDD"/>
      <sheetName val="THXL-tr"/>
      <sheetName val="CT_tram"/>
      <sheetName val="TK"/>
      <sheetName val="bu"/>
      <sheetName val="bu-tr"/>
      <sheetName val="klth"/>
      <sheetName val="vtthuhoi"/>
      <sheetName val="tram1x25"/>
      <sheetName val="tram1x50"/>
      <sheetName val="tram3x25"/>
      <sheetName val="tram250"/>
      <sheetName val="tram160"/>
      <sheetName val="kldd2"/>
      <sheetName val="kldd1"/>
      <sheetName val="pp3p_NC"/>
      <sheetName val="pp3p "/>
      <sheetName val="pp1p"/>
      <sheetName val="pphtABC"/>
      <sheetName val="pphtAV"/>
      <sheetName val="TienLuong"/>
      <sheetName val="00000000"/>
      <sheetName val="10000000"/>
      <sheetName val="Hung"/>
      <sheetName val="Dau"/>
      <sheetName val="Doan"/>
      <sheetName val="Xanh"/>
      <sheetName val="Tri"/>
      <sheetName val="Chuong"/>
      <sheetName val="Hue"/>
      <sheetName val="Tien"/>
      <sheetName val="Sanh"/>
      <sheetName val="Phuc"/>
      <sheetName val="Hai"/>
      <sheetName val="Chau"/>
      <sheetName val="Lien"/>
      <sheetName val="Trieu"/>
      <sheetName val="Huong"/>
      <sheetName val="Canh"/>
      <sheetName val="Bao"/>
      <sheetName val="Kim"/>
      <sheetName val="Son"/>
      <sheetName val="Phuong"/>
      <sheetName val="Nga"/>
      <sheetName val="Thang02"/>
      <sheetName val="Thang03"/>
      <sheetName val="thang04"/>
    </sheetNames>
    <sheetDataSet>
      <sheetData sheetId="1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17">
          <cell r="I17">
            <v>193170510</v>
          </cell>
        </row>
        <row r="19">
          <cell r="I19">
            <v>963073693</v>
          </cell>
        </row>
        <row r="20">
          <cell r="I20">
            <v>65854980</v>
          </cell>
        </row>
        <row r="21">
          <cell r="I21">
            <v>10975830</v>
          </cell>
        </row>
        <row r="22">
          <cell r="I22">
            <v>7317220</v>
          </cell>
        </row>
        <row r="23">
          <cell r="I23">
            <v>3658610</v>
          </cell>
        </row>
        <row r="25">
          <cell r="I25">
            <v>35639099</v>
          </cell>
        </row>
        <row r="27">
          <cell r="I27">
            <v>504731905</v>
          </cell>
        </row>
        <row r="28">
          <cell r="I28">
            <v>58902720</v>
          </cell>
        </row>
        <row r="29">
          <cell r="I29">
            <v>97317085</v>
          </cell>
        </row>
        <row r="31">
          <cell r="I31">
            <v>244885050</v>
          </cell>
        </row>
        <row r="33">
          <cell r="I33">
            <v>52820603</v>
          </cell>
        </row>
        <row r="34">
          <cell r="I34">
            <v>79598859</v>
          </cell>
        </row>
        <row r="35">
          <cell r="I35">
            <v>37009449</v>
          </cell>
        </row>
        <row r="37">
          <cell r="I37">
            <v>70378553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15">
          <cell r="I15">
            <v>15525820</v>
          </cell>
        </row>
        <row r="17">
          <cell r="I17">
            <v>96158359</v>
          </cell>
        </row>
        <row r="18">
          <cell r="I18">
            <v>17280000</v>
          </cell>
        </row>
        <row r="19">
          <cell r="I19">
            <v>14343030</v>
          </cell>
        </row>
        <row r="20">
          <cell r="I20">
            <v>2390505</v>
          </cell>
        </row>
        <row r="21">
          <cell r="I21">
            <v>1593670</v>
          </cell>
        </row>
        <row r="22">
          <cell r="I22">
            <v>796835</v>
          </cell>
        </row>
        <row r="23">
          <cell r="I23">
            <v>125000000</v>
          </cell>
        </row>
        <row r="25">
          <cell r="I25">
            <v>42533625</v>
          </cell>
        </row>
        <row r="26">
          <cell r="I26">
            <v>53994798</v>
          </cell>
        </row>
        <row r="30">
          <cell r="I30">
            <v>128955364</v>
          </cell>
        </row>
        <row r="31">
          <cell r="I31">
            <v>5937879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zoomScalePageLayoutView="0" workbookViewId="0" topLeftCell="A1">
      <selection activeCell="K24" sqref="K24:K25"/>
    </sheetView>
  </sheetViews>
  <sheetFormatPr defaultColWidth="9.00390625" defaultRowHeight="12.75"/>
  <cols>
    <col min="1" max="1" width="51.625" style="166" customWidth="1"/>
    <col min="2" max="2" width="8.125" style="183" customWidth="1"/>
    <col min="3" max="3" width="18.125" style="166" customWidth="1"/>
    <col min="4" max="4" width="17.75390625" style="166" customWidth="1"/>
    <col min="5" max="5" width="25.00390625" style="166" customWidth="1"/>
    <col min="6" max="16384" width="9.125" style="166" customWidth="1"/>
  </cols>
  <sheetData>
    <row r="1" spans="1:4" ht="16.5" customHeight="1">
      <c r="A1" s="191" t="s">
        <v>247</v>
      </c>
      <c r="B1" s="192"/>
      <c r="C1" s="192"/>
      <c r="D1" s="192"/>
    </row>
    <row r="2" spans="1:4" ht="1.5" customHeight="1">
      <c r="A2" s="193"/>
      <c r="B2" s="192"/>
      <c r="C2" s="192"/>
      <c r="D2" s="193"/>
    </row>
    <row r="3" spans="1:4" ht="26.25" customHeight="1">
      <c r="A3" s="194" t="s">
        <v>248</v>
      </c>
      <c r="B3" s="194"/>
      <c r="C3" s="194"/>
      <c r="D3" s="194"/>
    </row>
    <row r="4" spans="1:4" ht="16.5" customHeight="1">
      <c r="A4" s="195" t="s">
        <v>249</v>
      </c>
      <c r="B4" s="195"/>
      <c r="C4" s="195"/>
      <c r="D4" s="195"/>
    </row>
    <row r="5" spans="1:4" ht="7.5" customHeight="1">
      <c r="A5" s="167"/>
      <c r="B5" s="179"/>
      <c r="C5" s="167"/>
      <c r="D5" s="167"/>
    </row>
    <row r="6" spans="1:4" ht="16.5" customHeight="1">
      <c r="A6" s="196" t="s">
        <v>278</v>
      </c>
      <c r="B6" s="196"/>
      <c r="C6" s="196"/>
      <c r="D6" s="196"/>
    </row>
    <row r="7" spans="1:4" ht="37.5" customHeight="1">
      <c r="A7" s="168" t="s">
        <v>250</v>
      </c>
      <c r="B7" s="169" t="s">
        <v>251</v>
      </c>
      <c r="C7" s="169" t="s">
        <v>276</v>
      </c>
      <c r="D7" s="169" t="s">
        <v>277</v>
      </c>
    </row>
    <row r="8" spans="1:5" ht="24.75" customHeight="1">
      <c r="A8" s="170" t="s">
        <v>252</v>
      </c>
      <c r="B8" s="180" t="s">
        <v>253</v>
      </c>
      <c r="C8" s="171">
        <v>68173451936</v>
      </c>
      <c r="D8" s="171">
        <v>64546204022</v>
      </c>
      <c r="E8" s="174">
        <f>C8-D8</f>
        <v>3627247914</v>
      </c>
    </row>
    <row r="9" spans="1:5" ht="24.75" customHeight="1">
      <c r="A9" s="170" t="s">
        <v>254</v>
      </c>
      <c r="B9" s="180" t="s">
        <v>255</v>
      </c>
      <c r="C9" s="171">
        <v>0</v>
      </c>
      <c r="D9" s="171">
        <v>0</v>
      </c>
      <c r="E9" s="174">
        <f aca="true" t="shared" si="0" ref="E9:E25">C9-D9</f>
        <v>0</v>
      </c>
    </row>
    <row r="10" spans="1:5" ht="36.75" customHeight="1">
      <c r="A10" s="170" t="s">
        <v>273</v>
      </c>
      <c r="B10" s="180" t="s">
        <v>174</v>
      </c>
      <c r="C10" s="171">
        <v>68173451936</v>
      </c>
      <c r="D10" s="171">
        <v>64546204022</v>
      </c>
      <c r="E10" s="174">
        <f t="shared" si="0"/>
        <v>3627247914</v>
      </c>
    </row>
    <row r="11" spans="1:5" ht="24.75" customHeight="1">
      <c r="A11" s="172" t="s">
        <v>256</v>
      </c>
      <c r="B11" s="181" t="s">
        <v>194</v>
      </c>
      <c r="C11" s="173">
        <v>23257259945</v>
      </c>
      <c r="D11" s="173">
        <v>22717991598</v>
      </c>
      <c r="E11" s="174">
        <f t="shared" si="0"/>
        <v>539268347</v>
      </c>
    </row>
    <row r="12" spans="1:5" ht="36" customHeight="1">
      <c r="A12" s="170" t="s">
        <v>274</v>
      </c>
      <c r="B12" s="180" t="s">
        <v>178</v>
      </c>
      <c r="C12" s="171">
        <f>C10-C11</f>
        <v>44916191991</v>
      </c>
      <c r="D12" s="171">
        <v>41828212424</v>
      </c>
      <c r="E12" s="174">
        <f t="shared" si="0"/>
        <v>3087979567</v>
      </c>
    </row>
    <row r="13" spans="1:5" ht="24.75" customHeight="1">
      <c r="A13" s="172" t="s">
        <v>257</v>
      </c>
      <c r="B13" s="181" t="s">
        <v>225</v>
      </c>
      <c r="C13" s="173">
        <v>1243383294</v>
      </c>
      <c r="D13" s="173">
        <v>3480636905</v>
      </c>
      <c r="E13" s="174">
        <f t="shared" si="0"/>
        <v>-2237253611</v>
      </c>
    </row>
    <row r="14" spans="1:5" ht="24.75" customHeight="1">
      <c r="A14" s="172" t="s">
        <v>258</v>
      </c>
      <c r="B14" s="181" t="s">
        <v>181</v>
      </c>
      <c r="C14" s="173">
        <v>267405961</v>
      </c>
      <c r="D14" s="173">
        <v>64673500</v>
      </c>
      <c r="E14" s="174">
        <f t="shared" si="0"/>
        <v>202732461</v>
      </c>
    </row>
    <row r="15" spans="1:5" ht="24.75" customHeight="1">
      <c r="A15" s="172" t="s">
        <v>259</v>
      </c>
      <c r="B15" s="181" t="s">
        <v>183</v>
      </c>
      <c r="C15" s="173">
        <v>0</v>
      </c>
      <c r="D15" s="173">
        <v>0</v>
      </c>
      <c r="E15" s="174">
        <f t="shared" si="0"/>
        <v>0</v>
      </c>
    </row>
    <row r="16" spans="1:5" ht="24.75" customHeight="1">
      <c r="A16" s="172" t="s">
        <v>260</v>
      </c>
      <c r="B16" s="181" t="s">
        <v>187</v>
      </c>
      <c r="C16" s="173">
        <v>174862273</v>
      </c>
      <c r="D16" s="173">
        <v>233208636</v>
      </c>
      <c r="E16" s="174">
        <f t="shared" si="0"/>
        <v>-58346363</v>
      </c>
    </row>
    <row r="17" spans="1:5" ht="24.75" customHeight="1">
      <c r="A17" s="172" t="s">
        <v>261</v>
      </c>
      <c r="B17" s="181" t="s">
        <v>227</v>
      </c>
      <c r="C17" s="173">
        <v>9500212752</v>
      </c>
      <c r="D17" s="173">
        <v>8922317357</v>
      </c>
      <c r="E17" s="174">
        <f t="shared" si="0"/>
        <v>577895395</v>
      </c>
    </row>
    <row r="18" spans="1:5" ht="39.75" customHeight="1">
      <c r="A18" s="170" t="s">
        <v>262</v>
      </c>
      <c r="B18" s="180" t="s">
        <v>189</v>
      </c>
      <c r="C18" s="171">
        <f>C12+C13-C14-C16-C17</f>
        <v>36217094299</v>
      </c>
      <c r="D18" s="171">
        <v>36088649836</v>
      </c>
      <c r="E18" s="174">
        <f t="shared" si="0"/>
        <v>128444463</v>
      </c>
    </row>
    <row r="19" spans="1:5" ht="24.75" customHeight="1">
      <c r="A19" s="172" t="s">
        <v>263</v>
      </c>
      <c r="B19" s="181" t="s">
        <v>176</v>
      </c>
      <c r="C19" s="173">
        <v>272727273</v>
      </c>
      <c r="D19" s="173">
        <v>0</v>
      </c>
      <c r="E19" s="174">
        <f t="shared" si="0"/>
        <v>272727273</v>
      </c>
    </row>
    <row r="20" spans="1:5" ht="24.75" customHeight="1">
      <c r="A20" s="172" t="s">
        <v>264</v>
      </c>
      <c r="B20" s="181" t="s">
        <v>265</v>
      </c>
      <c r="C20" s="173">
        <v>453864</v>
      </c>
      <c r="D20" s="173">
        <v>644214</v>
      </c>
      <c r="E20" s="174">
        <f t="shared" si="0"/>
        <v>-190350</v>
      </c>
    </row>
    <row r="21" spans="1:5" ht="24.75" customHeight="1">
      <c r="A21" s="170" t="s">
        <v>266</v>
      </c>
      <c r="B21" s="180" t="s">
        <v>192</v>
      </c>
      <c r="C21" s="171">
        <v>272273409</v>
      </c>
      <c r="D21" s="171">
        <v>-644214</v>
      </c>
      <c r="E21" s="174">
        <f t="shared" si="0"/>
        <v>272917623</v>
      </c>
    </row>
    <row r="22" spans="1:5" ht="24.75" customHeight="1">
      <c r="A22" s="170" t="s">
        <v>267</v>
      </c>
      <c r="B22" s="180" t="s">
        <v>200</v>
      </c>
      <c r="C22" s="171">
        <f>C18+C21</f>
        <v>36489367708</v>
      </c>
      <c r="D22" s="171">
        <v>36088005622</v>
      </c>
      <c r="E22" s="174">
        <f t="shared" si="0"/>
        <v>401362086</v>
      </c>
    </row>
    <row r="23" spans="1:5" ht="24.75" customHeight="1">
      <c r="A23" s="172" t="s">
        <v>268</v>
      </c>
      <c r="B23" s="181" t="s">
        <v>269</v>
      </c>
      <c r="C23" s="173">
        <v>7338827213</v>
      </c>
      <c r="D23" s="173">
        <v>7402437524</v>
      </c>
      <c r="E23" s="174">
        <f t="shared" si="0"/>
        <v>-63610311</v>
      </c>
    </row>
    <row r="24" spans="1:5" ht="24.75" customHeight="1">
      <c r="A24" s="172" t="s">
        <v>270</v>
      </c>
      <c r="B24" s="181" t="s">
        <v>271</v>
      </c>
      <c r="C24" s="173">
        <v>0</v>
      </c>
      <c r="D24" s="173">
        <v>0</v>
      </c>
      <c r="E24" s="174">
        <f t="shared" si="0"/>
        <v>0</v>
      </c>
    </row>
    <row r="25" spans="1:5" ht="40.5" customHeight="1">
      <c r="A25" s="170" t="s">
        <v>275</v>
      </c>
      <c r="B25" s="180" t="s">
        <v>203</v>
      </c>
      <c r="C25" s="171">
        <f>C22-C23</f>
        <v>29150540495</v>
      </c>
      <c r="D25" s="171">
        <v>28685568098</v>
      </c>
      <c r="E25" s="174">
        <f t="shared" si="0"/>
        <v>464972397</v>
      </c>
    </row>
    <row r="26" spans="1:4" ht="15" customHeight="1">
      <c r="A26" s="175"/>
      <c r="B26" s="182"/>
      <c r="C26" s="176"/>
      <c r="D26" s="176"/>
    </row>
    <row r="27" spans="1:4" ht="16.5" customHeight="1">
      <c r="A27" s="197" t="s">
        <v>272</v>
      </c>
      <c r="B27" s="197"/>
      <c r="C27" s="197"/>
      <c r="D27" s="197"/>
    </row>
    <row r="28" spans="1:4" ht="16.5" customHeight="1">
      <c r="A28" s="177"/>
      <c r="B28" s="177"/>
      <c r="C28" s="198"/>
      <c r="D28" s="198"/>
    </row>
    <row r="29" spans="1:4" ht="1.5" customHeight="1">
      <c r="A29" s="167"/>
      <c r="B29" s="179"/>
      <c r="C29" s="167"/>
      <c r="D29" s="167"/>
    </row>
    <row r="30" spans="1:4" s="178" customFormat="1" ht="16.5">
      <c r="A30" s="189" t="s">
        <v>281</v>
      </c>
      <c r="B30" s="189"/>
      <c r="C30" s="189"/>
      <c r="D30" s="189"/>
    </row>
    <row r="31" spans="1:4" ht="16.5">
      <c r="A31" s="184"/>
      <c r="B31" s="185"/>
      <c r="C31" s="184"/>
      <c r="D31" s="184"/>
    </row>
    <row r="32" spans="1:4" ht="16.5">
      <c r="A32" s="184"/>
      <c r="B32" s="185"/>
      <c r="C32" s="184"/>
      <c r="D32" s="184"/>
    </row>
    <row r="33" spans="1:4" ht="16.5">
      <c r="A33" s="184"/>
      <c r="B33" s="185"/>
      <c r="C33" s="184"/>
      <c r="D33" s="184"/>
    </row>
    <row r="34" spans="1:4" ht="16.5">
      <c r="A34" s="184"/>
      <c r="B34" s="185"/>
      <c r="C34" s="184"/>
      <c r="D34" s="184"/>
    </row>
    <row r="35" spans="1:4" ht="16.5">
      <c r="A35" s="184"/>
      <c r="B35" s="185"/>
      <c r="C35" s="184"/>
      <c r="D35" s="184"/>
    </row>
    <row r="36" spans="1:4" ht="16.5">
      <c r="A36" s="190" t="s">
        <v>282</v>
      </c>
      <c r="B36" s="190"/>
      <c r="C36" s="190"/>
      <c r="D36" s="190"/>
    </row>
    <row r="37" spans="1:4" ht="16.5">
      <c r="A37" s="184"/>
      <c r="B37" s="185"/>
      <c r="C37" s="184"/>
      <c r="D37" s="184"/>
    </row>
  </sheetData>
  <sheetProtection/>
  <mergeCells count="8">
    <mergeCell ref="A30:D30"/>
    <mergeCell ref="A36:D36"/>
    <mergeCell ref="A1:D2"/>
    <mergeCell ref="A3:D3"/>
    <mergeCell ref="A4:D4"/>
    <mergeCell ref="A6:D6"/>
    <mergeCell ref="A27:D27"/>
    <mergeCell ref="C28:D28"/>
  </mergeCells>
  <printOptions/>
  <pageMargins left="0.58" right="0.2" top="0.52" bottom="0.4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25">
      <selection activeCell="F32" sqref="F32"/>
    </sheetView>
  </sheetViews>
  <sheetFormatPr defaultColWidth="9.00390625" defaultRowHeight="12.75"/>
  <cols>
    <col min="1" max="1" width="5.00390625" style="81" customWidth="1"/>
    <col min="2" max="2" width="29.625" style="82" customWidth="1"/>
    <col min="3" max="3" width="12.00390625" style="88" customWidth="1"/>
    <col min="4" max="4" width="11.625" style="79" customWidth="1"/>
    <col min="5" max="5" width="13.625" style="88" customWidth="1"/>
    <col min="6" max="6" width="9.75390625" style="84" customWidth="1"/>
    <col min="7" max="7" width="8.00390625" style="84" customWidth="1"/>
    <col min="8" max="8" width="8.25390625" style="90" customWidth="1"/>
    <col min="9" max="9" width="5.25390625" style="80" customWidth="1"/>
    <col min="10" max="10" width="58.625" style="80" customWidth="1"/>
    <col min="11" max="11" width="19.125" style="80" bestFit="1" customWidth="1"/>
    <col min="12" max="12" width="15.875" style="80" bestFit="1" customWidth="1"/>
    <col min="13" max="16384" width="9.125" style="80" customWidth="1"/>
  </cols>
  <sheetData>
    <row r="1" spans="1:9" ht="29.25" customHeight="1">
      <c r="A1" s="203" t="s">
        <v>30</v>
      </c>
      <c r="B1" s="203"/>
      <c r="C1" s="203"/>
      <c r="D1" s="203"/>
      <c r="E1" s="204" t="s">
        <v>242</v>
      </c>
      <c r="F1" s="204"/>
      <c r="G1" s="204"/>
      <c r="H1" s="204"/>
      <c r="I1" s="204"/>
    </row>
    <row r="2" spans="1:9" ht="21.75" customHeight="1">
      <c r="A2" s="205" t="s">
        <v>238</v>
      </c>
      <c r="B2" s="205"/>
      <c r="C2" s="205"/>
      <c r="D2" s="205"/>
      <c r="E2" s="205"/>
      <c r="F2" s="205"/>
      <c r="G2" s="205"/>
      <c r="H2" s="205"/>
      <c r="I2" s="205"/>
    </row>
    <row r="3" spans="1:9" ht="21.75" customHeight="1">
      <c r="A3" s="216" t="s">
        <v>280</v>
      </c>
      <c r="B3" s="216"/>
      <c r="C3" s="216"/>
      <c r="D3" s="216"/>
      <c r="E3" s="216"/>
      <c r="F3" s="216"/>
      <c r="G3" s="216"/>
      <c r="H3" s="216"/>
      <c r="I3" s="216"/>
    </row>
    <row r="4" spans="1:9" ht="15" customHeight="1">
      <c r="A4" s="186"/>
      <c r="B4" s="186"/>
      <c r="C4" s="186"/>
      <c r="D4" s="186"/>
      <c r="E4" s="186"/>
      <c r="F4" s="186"/>
      <c r="G4" s="186"/>
      <c r="H4" s="186"/>
      <c r="I4" s="186"/>
    </row>
    <row r="5" spans="3:9" ht="21" customHeight="1" thickBot="1">
      <c r="C5" s="83"/>
      <c r="E5" s="83"/>
      <c r="F5" s="215" t="s">
        <v>31</v>
      </c>
      <c r="G5" s="215"/>
      <c r="H5" s="215"/>
      <c r="I5" s="215"/>
    </row>
    <row r="6" spans="1:9" ht="24.75" customHeight="1">
      <c r="A6" s="206" t="s">
        <v>0</v>
      </c>
      <c r="B6" s="208" t="s">
        <v>32</v>
      </c>
      <c r="C6" s="214" t="s">
        <v>33</v>
      </c>
      <c r="D6" s="214"/>
      <c r="E6" s="214"/>
      <c r="F6" s="214"/>
      <c r="G6" s="210" t="s">
        <v>239</v>
      </c>
      <c r="H6" s="211"/>
      <c r="I6" s="212" t="s">
        <v>34</v>
      </c>
    </row>
    <row r="7" spans="1:9" ht="34.5" customHeight="1">
      <c r="A7" s="207"/>
      <c r="B7" s="209"/>
      <c r="C7" s="163" t="s">
        <v>237</v>
      </c>
      <c r="D7" s="164" t="s">
        <v>35</v>
      </c>
      <c r="E7" s="163" t="s">
        <v>240</v>
      </c>
      <c r="F7" s="164" t="s">
        <v>35</v>
      </c>
      <c r="G7" s="164" t="s">
        <v>36</v>
      </c>
      <c r="H7" s="165" t="s">
        <v>37</v>
      </c>
      <c r="I7" s="213"/>
    </row>
    <row r="8" spans="1:9" s="24" customFormat="1" ht="28.5" customHeight="1">
      <c r="A8" s="118" t="s">
        <v>1</v>
      </c>
      <c r="B8" s="119" t="s">
        <v>38</v>
      </c>
      <c r="C8" s="112">
        <f>C9+C10+C11</f>
        <v>74990797</v>
      </c>
      <c r="D8" s="113">
        <v>1</v>
      </c>
      <c r="E8" s="112">
        <v>70420158</v>
      </c>
      <c r="F8" s="113">
        <v>1</v>
      </c>
      <c r="G8" s="120"/>
      <c r="H8" s="120">
        <f>-(E8-C8)/C8</f>
        <v>0.060949332222725944</v>
      </c>
      <c r="I8" s="121"/>
    </row>
    <row r="9" spans="1:9" s="86" customFormat="1" ht="28.5" customHeight="1">
      <c r="A9" s="122">
        <v>1</v>
      </c>
      <c r="B9" s="123" t="s">
        <v>39</v>
      </c>
      <c r="C9" s="112">
        <v>57957979</v>
      </c>
      <c r="D9" s="113">
        <f>C9/C8</f>
        <v>0.7728678893758123</v>
      </c>
      <c r="E9" s="112">
        <v>52783431</v>
      </c>
      <c r="F9" s="124">
        <f>E9/E8</f>
        <v>0.7495500223103732</v>
      </c>
      <c r="G9" s="120"/>
      <c r="H9" s="120">
        <f>-(E9-C9)/C9</f>
        <v>0.0892810289330482</v>
      </c>
      <c r="I9" s="125"/>
    </row>
    <row r="10" spans="1:9" s="86" customFormat="1" ht="21.75" customHeight="1">
      <c r="A10" s="126">
        <v>2</v>
      </c>
      <c r="B10" s="127" t="s">
        <v>40</v>
      </c>
      <c r="C10" s="114">
        <v>2907033</v>
      </c>
      <c r="D10" s="115">
        <f>C10/C8</f>
        <v>0.03876519674807563</v>
      </c>
      <c r="E10" s="114">
        <v>4652487</v>
      </c>
      <c r="F10" s="128">
        <f>E10/E8</f>
        <v>0.06606754560249638</v>
      </c>
      <c r="G10" s="120">
        <f>(E10-C10)/C10</f>
        <v>0.600424556583981</v>
      </c>
      <c r="H10" s="124"/>
      <c r="I10" s="129"/>
    </row>
    <row r="11" spans="1:9" s="86" customFormat="1" ht="21.75" customHeight="1">
      <c r="A11" s="126">
        <v>3</v>
      </c>
      <c r="B11" s="127" t="s">
        <v>235</v>
      </c>
      <c r="C11" s="114">
        <v>14125785</v>
      </c>
      <c r="D11" s="116">
        <f>C11/C8</f>
        <v>0.188366913876112</v>
      </c>
      <c r="E11" s="114">
        <v>12984240</v>
      </c>
      <c r="F11" s="124">
        <f>E11/E8</f>
        <v>0.1843824320871305</v>
      </c>
      <c r="G11" s="124"/>
      <c r="H11" s="120">
        <f>-(E11-C11)/C11</f>
        <v>0.08081285394050666</v>
      </c>
      <c r="I11" s="129"/>
    </row>
    <row r="12" spans="1:9" s="24" customFormat="1" ht="21.75" customHeight="1">
      <c r="A12" s="130" t="s">
        <v>3</v>
      </c>
      <c r="B12" s="131" t="s">
        <v>158</v>
      </c>
      <c r="C12" s="114">
        <f>C13</f>
        <v>6817345.181818182</v>
      </c>
      <c r="D12" s="117"/>
      <c r="E12" s="114">
        <f>E13</f>
        <v>6401832.545454546</v>
      </c>
      <c r="F12" s="132"/>
      <c r="G12" s="124"/>
      <c r="H12" s="120">
        <f>-(E12-C12)/C12</f>
        <v>0.06094933222272586</v>
      </c>
      <c r="I12" s="133"/>
    </row>
    <row r="13" spans="1:9" s="28" customFormat="1" ht="21.75" customHeight="1">
      <c r="A13" s="134">
        <v>1</v>
      </c>
      <c r="B13" s="127" t="s">
        <v>41</v>
      </c>
      <c r="C13" s="114">
        <f>(C9+C10+C11)/11</f>
        <v>6817345.181818182</v>
      </c>
      <c r="D13" s="117"/>
      <c r="E13" s="114">
        <f>(E9+E10+E11)/11</f>
        <v>6401832.545454546</v>
      </c>
      <c r="F13" s="135"/>
      <c r="G13" s="124"/>
      <c r="H13" s="120">
        <f>-(E13-C13)/C13</f>
        <v>0.06094933222272586</v>
      </c>
      <c r="I13" s="136"/>
    </row>
    <row r="14" spans="1:9" s="24" customFormat="1" ht="28.5" customHeight="1">
      <c r="A14" s="130" t="s">
        <v>4</v>
      </c>
      <c r="B14" s="137" t="s">
        <v>42</v>
      </c>
      <c r="C14" s="114">
        <f>C8-C12</f>
        <v>68173451.81818181</v>
      </c>
      <c r="D14" s="117"/>
      <c r="E14" s="114">
        <f>E8-E12</f>
        <v>64018325.45454545</v>
      </c>
      <c r="F14" s="132"/>
      <c r="G14" s="124"/>
      <c r="H14" s="120">
        <f>-(E14-C14)/C14</f>
        <v>0.06094933222272589</v>
      </c>
      <c r="I14" s="133"/>
    </row>
    <row r="15" spans="1:9" s="102" customFormat="1" ht="28.5" customHeight="1">
      <c r="A15" s="138" t="s">
        <v>5</v>
      </c>
      <c r="B15" s="139" t="s">
        <v>43</v>
      </c>
      <c r="C15" s="140">
        <v>23257260</v>
      </c>
      <c r="D15" s="141">
        <f>C15/C14</f>
        <v>0.3411483411757846</v>
      </c>
      <c r="E15" s="114">
        <v>27489069</v>
      </c>
      <c r="F15" s="142">
        <f>E15/E14</f>
        <v>0.4293937525672692</v>
      </c>
      <c r="G15" s="103">
        <f>(E15-C15)/C15</f>
        <v>0.18195647294651218</v>
      </c>
      <c r="H15" s="105"/>
      <c r="I15" s="143"/>
    </row>
    <row r="16" spans="1:9" s="104" customFormat="1" ht="28.5" customHeight="1">
      <c r="A16" s="138" t="s">
        <v>6</v>
      </c>
      <c r="B16" s="139" t="s">
        <v>62</v>
      </c>
      <c r="C16" s="114">
        <v>174862.273</v>
      </c>
      <c r="D16" s="144"/>
      <c r="E16" s="114">
        <v>250000</v>
      </c>
      <c r="F16" s="142">
        <f>E16/E14</f>
        <v>0.0039051318231918763</v>
      </c>
      <c r="G16" s="105">
        <f>(E16-C16)/C16</f>
        <v>0.42969661614772686</v>
      </c>
      <c r="H16" s="120"/>
      <c r="I16" s="145"/>
    </row>
    <row r="17" spans="1:9" s="102" customFormat="1" ht="28.5" customHeight="1">
      <c r="A17" s="138" t="s">
        <v>7</v>
      </c>
      <c r="B17" s="139" t="s">
        <v>157</v>
      </c>
      <c r="C17" s="140">
        <v>9500213</v>
      </c>
      <c r="D17" s="144">
        <f>C17/C14</f>
        <v>0.13935355694379406</v>
      </c>
      <c r="E17" s="114">
        <v>8715045</v>
      </c>
      <c r="F17" s="142">
        <f>E17/E14</f>
        <v>0.136133598280197</v>
      </c>
      <c r="G17" s="105"/>
      <c r="H17" s="120">
        <f>-(E17-C17)/C17</f>
        <v>0.08264741011596266</v>
      </c>
      <c r="I17" s="143"/>
    </row>
    <row r="18" spans="1:9" s="102" customFormat="1" ht="28.5" customHeight="1">
      <c r="A18" s="138" t="s">
        <v>80</v>
      </c>
      <c r="B18" s="146" t="s">
        <v>245</v>
      </c>
      <c r="C18" s="140">
        <f>C14-C15-C16-C17</f>
        <v>35241116.54518181</v>
      </c>
      <c r="D18" s="147">
        <f>C18/C14</f>
        <v>0.5169331404718901</v>
      </c>
      <c r="E18" s="114">
        <f>E14-E15-E16-E17</f>
        <v>27564211.454545453</v>
      </c>
      <c r="F18" s="142">
        <f>E18/E14</f>
        <v>0.43056751732934195</v>
      </c>
      <c r="G18" s="105"/>
      <c r="H18" s="105">
        <f>-(E18-C18)/C18</f>
        <v>0.2178394399279029</v>
      </c>
      <c r="I18" s="148"/>
    </row>
    <row r="19" spans="1:9" s="102" customFormat="1" ht="28.5" customHeight="1">
      <c r="A19" s="138" t="s">
        <v>81</v>
      </c>
      <c r="B19" s="149" t="s">
        <v>82</v>
      </c>
      <c r="C19" s="111">
        <v>1243383.294</v>
      </c>
      <c r="D19" s="141"/>
      <c r="E19" s="114">
        <f>839100/2</f>
        <v>419550</v>
      </c>
      <c r="F19" s="142"/>
      <c r="G19" s="105"/>
      <c r="H19" s="105">
        <f>-(E19-C19)/C19</f>
        <v>0.6625738804562062</v>
      </c>
      <c r="I19" s="150"/>
    </row>
    <row r="20" spans="1:9" s="102" customFormat="1" ht="28.5" customHeight="1">
      <c r="A20" s="138" t="s">
        <v>83</v>
      </c>
      <c r="B20" s="139" t="s">
        <v>84</v>
      </c>
      <c r="C20" s="111">
        <v>267405.961</v>
      </c>
      <c r="D20" s="141"/>
      <c r="E20" s="114">
        <v>1145410.480189225</v>
      </c>
      <c r="F20" s="142"/>
      <c r="G20" s="105">
        <f>(E20-C20)/C20</f>
        <v>3.283414161396443</v>
      </c>
      <c r="H20" s="105"/>
      <c r="I20" s="148"/>
    </row>
    <row r="21" spans="1:9" s="102" customFormat="1" ht="28.5" customHeight="1">
      <c r="A21" s="138" t="s">
        <v>85</v>
      </c>
      <c r="B21" s="146" t="s">
        <v>86</v>
      </c>
      <c r="C21" s="140">
        <f>C18+C19-C20</f>
        <v>36217093.87818181</v>
      </c>
      <c r="D21" s="140"/>
      <c r="E21" s="114">
        <f>E18+E19-E20</f>
        <v>26838350.974356227</v>
      </c>
      <c r="F21" s="142"/>
      <c r="G21" s="105"/>
      <c r="H21" s="105">
        <f aca="true" t="shared" si="0" ref="H21:H27">-(E21-C21)/C21</f>
        <v>0.2589590135357492</v>
      </c>
      <c r="I21" s="148"/>
    </row>
    <row r="22" spans="1:9" s="102" customFormat="1" ht="28.5" customHeight="1">
      <c r="A22" s="138" t="s">
        <v>87</v>
      </c>
      <c r="B22" s="139" t="s">
        <v>88</v>
      </c>
      <c r="C22" s="111">
        <v>272727.273</v>
      </c>
      <c r="D22" s="141"/>
      <c r="E22" s="114">
        <v>2400000</v>
      </c>
      <c r="F22" s="151"/>
      <c r="G22" s="153">
        <f>(E22-C22)/C22</f>
        <v>7.7999999912</v>
      </c>
      <c r="H22" s="153"/>
      <c r="I22" s="148"/>
    </row>
    <row r="23" spans="1:9" s="106" customFormat="1" ht="28.5" customHeight="1">
      <c r="A23" s="138" t="s">
        <v>89</v>
      </c>
      <c r="B23" s="139" t="s">
        <v>90</v>
      </c>
      <c r="C23" s="111">
        <v>453.864</v>
      </c>
      <c r="D23" s="141"/>
      <c r="E23" s="114">
        <v>2370000</v>
      </c>
      <c r="F23" s="151"/>
      <c r="G23" s="188"/>
      <c r="H23" s="153"/>
      <c r="I23" s="148"/>
    </row>
    <row r="24" spans="1:9" s="102" customFormat="1" ht="28.5" customHeight="1">
      <c r="A24" s="138" t="s">
        <v>91</v>
      </c>
      <c r="B24" s="149" t="s">
        <v>243</v>
      </c>
      <c r="C24" s="140">
        <f>C22-C23</f>
        <v>272273.409</v>
      </c>
      <c r="D24" s="140"/>
      <c r="E24" s="114">
        <f>E22-E23</f>
        <v>30000</v>
      </c>
      <c r="F24" s="151"/>
      <c r="G24" s="152"/>
      <c r="H24" s="153">
        <f t="shared" si="0"/>
        <v>0.8898166364824851</v>
      </c>
      <c r="I24" s="148"/>
    </row>
    <row r="25" spans="1:9" s="102" customFormat="1" ht="28.5" customHeight="1">
      <c r="A25" s="138" t="s">
        <v>92</v>
      </c>
      <c r="B25" s="146" t="s">
        <v>93</v>
      </c>
      <c r="C25" s="140">
        <f>C21+C24</f>
        <v>36489367.28718181</v>
      </c>
      <c r="D25" s="140"/>
      <c r="E25" s="114">
        <f>E21+E24</f>
        <v>26868350.974356227</v>
      </c>
      <c r="F25" s="142"/>
      <c r="G25" s="105"/>
      <c r="H25" s="105">
        <f t="shared" si="0"/>
        <v>0.26366629591314694</v>
      </c>
      <c r="I25" s="148"/>
    </row>
    <row r="26" spans="1:9" s="106" customFormat="1" ht="28.5" customHeight="1">
      <c r="A26" s="138" t="s">
        <v>94</v>
      </c>
      <c r="B26" s="149" t="s">
        <v>95</v>
      </c>
      <c r="C26" s="140">
        <v>7338827</v>
      </c>
      <c r="D26" s="154"/>
      <c r="E26" s="155">
        <v>5677982</v>
      </c>
      <c r="F26" s="142"/>
      <c r="G26" s="105"/>
      <c r="H26" s="105">
        <f t="shared" si="0"/>
        <v>0.22630932709001042</v>
      </c>
      <c r="I26" s="148"/>
    </row>
    <row r="27" spans="1:13" s="102" customFormat="1" ht="28.5" customHeight="1" thickBot="1">
      <c r="A27" s="156" t="s">
        <v>96</v>
      </c>
      <c r="B27" s="157" t="s">
        <v>97</v>
      </c>
      <c r="C27" s="158">
        <f>C25-C26</f>
        <v>29150540.28718181</v>
      </c>
      <c r="D27" s="158"/>
      <c r="E27" s="159">
        <f>E25-E26</f>
        <v>21190368.974356227</v>
      </c>
      <c r="F27" s="160"/>
      <c r="G27" s="160"/>
      <c r="H27" s="160">
        <f t="shared" si="0"/>
        <v>0.2730711415433305</v>
      </c>
      <c r="I27" s="161"/>
      <c r="J27" s="106"/>
      <c r="K27" s="106"/>
      <c r="L27" s="106"/>
      <c r="M27" s="106"/>
    </row>
    <row r="28" spans="1:9" s="162" customFormat="1" ht="16.5">
      <c r="A28" s="199" t="s">
        <v>9</v>
      </c>
      <c r="B28" s="199"/>
      <c r="C28" s="199" t="s">
        <v>222</v>
      </c>
      <c r="D28" s="199"/>
      <c r="E28" s="199"/>
      <c r="F28" s="200" t="s">
        <v>246</v>
      </c>
      <c r="G28" s="200"/>
      <c r="H28" s="200"/>
      <c r="I28" s="200"/>
    </row>
    <row r="29" spans="3:9" ht="16.5" customHeight="1">
      <c r="C29" s="83"/>
      <c r="E29" s="83"/>
      <c r="H29" s="85"/>
      <c r="I29" s="89"/>
    </row>
    <row r="30" spans="3:9" ht="16.5" customHeight="1">
      <c r="C30" s="83"/>
      <c r="E30" s="83"/>
      <c r="H30" s="85"/>
      <c r="I30" s="89"/>
    </row>
    <row r="31" spans="3:9" ht="16.5" customHeight="1">
      <c r="C31" s="83"/>
      <c r="E31" s="83"/>
      <c r="H31" s="85"/>
      <c r="I31" s="89"/>
    </row>
    <row r="32" spans="3:9" ht="16.5" customHeight="1">
      <c r="C32" s="83"/>
      <c r="E32" s="83"/>
      <c r="H32" s="85"/>
      <c r="I32" s="89"/>
    </row>
    <row r="33" spans="3:9" ht="16.5" customHeight="1">
      <c r="C33" s="83"/>
      <c r="E33" s="83"/>
      <c r="H33" s="85"/>
      <c r="I33" s="89"/>
    </row>
    <row r="34" spans="1:9" ht="16.5" customHeight="1">
      <c r="A34" s="201" t="s">
        <v>10</v>
      </c>
      <c r="B34" s="201"/>
      <c r="C34" s="201" t="s">
        <v>279</v>
      </c>
      <c r="D34" s="201"/>
      <c r="E34" s="201"/>
      <c r="F34" s="202" t="s">
        <v>98</v>
      </c>
      <c r="G34" s="202"/>
      <c r="H34" s="202"/>
      <c r="I34" s="202"/>
    </row>
    <row r="35" spans="3:9" ht="16.5" customHeight="1">
      <c r="C35" s="83"/>
      <c r="E35" s="83"/>
      <c r="H35" s="85"/>
      <c r="I35" s="89"/>
    </row>
    <row r="36" spans="3:9" ht="16.5" customHeight="1">
      <c r="C36" s="83"/>
      <c r="E36" s="83"/>
      <c r="H36" s="85"/>
      <c r="I36" s="89"/>
    </row>
    <row r="37" spans="3:9" ht="16.5" customHeight="1">
      <c r="C37" s="83"/>
      <c r="E37" s="83"/>
      <c r="H37" s="85"/>
      <c r="I37" s="89"/>
    </row>
    <row r="38" spans="3:9" ht="16.5" customHeight="1">
      <c r="C38" s="83"/>
      <c r="E38" s="83"/>
      <c r="H38" s="85"/>
      <c r="I38" s="89"/>
    </row>
    <row r="39" spans="3:9" ht="16.5" customHeight="1">
      <c r="C39" s="83"/>
      <c r="E39" s="83"/>
      <c r="H39" s="85"/>
      <c r="I39" s="89"/>
    </row>
    <row r="40" spans="3:9" ht="16.5" customHeight="1">
      <c r="C40" s="83"/>
      <c r="E40" s="83"/>
      <c r="H40" s="85"/>
      <c r="I40" s="89"/>
    </row>
    <row r="41" spans="3:9" ht="16.5" customHeight="1">
      <c r="C41" s="83"/>
      <c r="E41" s="83"/>
      <c r="H41" s="85"/>
      <c r="I41" s="89"/>
    </row>
    <row r="42" spans="3:9" ht="16.5" customHeight="1">
      <c r="C42" s="83"/>
      <c r="E42" s="83"/>
      <c r="H42" s="85"/>
      <c r="I42" s="89"/>
    </row>
    <row r="43" spans="3:9" ht="16.5" customHeight="1">
      <c r="C43" s="83"/>
      <c r="E43" s="83"/>
      <c r="H43" s="85"/>
      <c r="I43" s="89"/>
    </row>
    <row r="44" spans="3:9" ht="16.5" customHeight="1">
      <c r="C44" s="83"/>
      <c r="E44" s="83"/>
      <c r="H44" s="85"/>
      <c r="I44" s="89"/>
    </row>
    <row r="45" spans="3:9" ht="16.5" customHeight="1">
      <c r="C45" s="83"/>
      <c r="E45" s="83"/>
      <c r="H45" s="85"/>
      <c r="I45" s="89"/>
    </row>
    <row r="46" spans="3:9" ht="16.5" customHeight="1">
      <c r="C46" s="83"/>
      <c r="E46" s="83"/>
      <c r="H46" s="85"/>
      <c r="I46" s="89"/>
    </row>
    <row r="47" spans="3:9" ht="16.5" customHeight="1">
      <c r="C47" s="83"/>
      <c r="E47" s="83"/>
      <c r="H47" s="85"/>
      <c r="I47" s="89"/>
    </row>
    <row r="48" spans="3:9" ht="16.5" customHeight="1">
      <c r="C48" s="83"/>
      <c r="E48" s="83"/>
      <c r="H48" s="85"/>
      <c r="I48" s="89"/>
    </row>
  </sheetData>
  <sheetProtection/>
  <mergeCells count="16">
    <mergeCell ref="A1:D1"/>
    <mergeCell ref="E1:I1"/>
    <mergeCell ref="A2:I2"/>
    <mergeCell ref="A6:A7"/>
    <mergeCell ref="B6:B7"/>
    <mergeCell ref="G6:H6"/>
    <mergeCell ref="I6:I7"/>
    <mergeCell ref="C6:F6"/>
    <mergeCell ref="F5:I5"/>
    <mergeCell ref="A3:I3"/>
    <mergeCell ref="A28:B28"/>
    <mergeCell ref="C28:E28"/>
    <mergeCell ref="F28:I28"/>
    <mergeCell ref="A34:B34"/>
    <mergeCell ref="C34:E34"/>
    <mergeCell ref="F34:I34"/>
  </mergeCells>
  <printOptions/>
  <pageMargins left="0.41" right="0.2" top="0.45" bottom="0.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7.75390625" style="1" customWidth="1"/>
    <col min="2" max="2" width="23.625" style="1" customWidth="1"/>
    <col min="3" max="4" width="20.00390625" style="1" customWidth="1"/>
    <col min="5" max="5" width="26.375" style="1" customWidth="1"/>
    <col min="6" max="6" width="12.875" style="107" customWidth="1"/>
    <col min="7" max="7" width="14.125" style="1" customWidth="1"/>
    <col min="8" max="16384" width="9.125" style="1" customWidth="1"/>
  </cols>
  <sheetData>
    <row r="1" spans="1:5" ht="30.75" customHeight="1">
      <c r="A1" s="219" t="s">
        <v>103</v>
      </c>
      <c r="B1" s="219"/>
      <c r="C1" s="219"/>
      <c r="D1" s="220" t="s">
        <v>241</v>
      </c>
      <c r="E1" s="220"/>
    </row>
    <row r="2" spans="1:5" ht="17.25" customHeight="1">
      <c r="A2" s="36"/>
      <c r="B2" s="36"/>
      <c r="C2" s="36"/>
      <c r="D2" s="35"/>
      <c r="E2" s="35"/>
    </row>
    <row r="3" spans="1:5" ht="28.5" customHeight="1">
      <c r="A3" s="221" t="s">
        <v>236</v>
      </c>
      <c r="B3" s="221"/>
      <c r="C3" s="221"/>
      <c r="D3" s="221"/>
      <c r="E3" s="221"/>
    </row>
    <row r="4" spans="1:5" ht="28.5" customHeight="1">
      <c r="A4" s="225" t="s">
        <v>280</v>
      </c>
      <c r="B4" s="225"/>
      <c r="C4" s="225"/>
      <c r="D4" s="225"/>
      <c r="E4" s="225"/>
    </row>
    <row r="5" spans="1:5" ht="28.5" customHeight="1">
      <c r="A5" s="187"/>
      <c r="B5" s="187"/>
      <c r="C5" s="187"/>
      <c r="D5" s="187"/>
      <c r="E5" s="187"/>
    </row>
    <row r="6" spans="1:5" ht="24.75" customHeight="1">
      <c r="A6" s="222" t="s">
        <v>23</v>
      </c>
      <c r="B6" s="222"/>
      <c r="C6" s="222"/>
      <c r="D6" s="222"/>
      <c r="E6" s="222"/>
    </row>
    <row r="7" spans="1:6" s="4" customFormat="1" ht="34.5" customHeight="1">
      <c r="A7" s="38" t="s">
        <v>0</v>
      </c>
      <c r="B7" s="39" t="s">
        <v>24</v>
      </c>
      <c r="C7" s="39" t="s">
        <v>25</v>
      </c>
      <c r="D7" s="39" t="s">
        <v>235</v>
      </c>
      <c r="E7" s="39" t="s">
        <v>8</v>
      </c>
      <c r="F7" s="108"/>
    </row>
    <row r="8" spans="1:7" ht="23.25" customHeight="1">
      <c r="A8" s="10">
        <v>1</v>
      </c>
      <c r="B8" s="11" t="s">
        <v>2</v>
      </c>
      <c r="C8" s="12">
        <v>22929999</v>
      </c>
      <c r="D8" s="12">
        <v>6943200</v>
      </c>
      <c r="E8" s="110">
        <f>C8+D8</f>
        <v>29873199</v>
      </c>
      <c r="F8" s="108"/>
      <c r="G8" s="4"/>
    </row>
    <row r="9" spans="1:7" ht="23.25" customHeight="1">
      <c r="A9" s="13">
        <v>2</v>
      </c>
      <c r="B9" s="11" t="s">
        <v>12</v>
      </c>
      <c r="C9" s="12">
        <v>8407200</v>
      </c>
      <c r="D9" s="14">
        <v>4726320</v>
      </c>
      <c r="E9" s="110">
        <f aca="true" t="shared" si="0" ref="E9:E22">C9+D9</f>
        <v>13133520</v>
      </c>
      <c r="F9" s="109"/>
      <c r="G9" s="4"/>
    </row>
    <row r="10" spans="1:6" ht="23.25" customHeight="1">
      <c r="A10" s="10">
        <v>3</v>
      </c>
      <c r="B10" s="11" t="s">
        <v>26</v>
      </c>
      <c r="C10" s="12">
        <v>4747200</v>
      </c>
      <c r="D10" s="14">
        <v>345600</v>
      </c>
      <c r="E10" s="110">
        <f t="shared" si="0"/>
        <v>5092800</v>
      </c>
      <c r="F10" s="109"/>
    </row>
    <row r="11" spans="1:6" ht="23.25" customHeight="1">
      <c r="A11" s="13">
        <v>4</v>
      </c>
      <c r="B11" s="11" t="s">
        <v>13</v>
      </c>
      <c r="C11" s="12">
        <v>4725600</v>
      </c>
      <c r="D11" s="14">
        <v>216000</v>
      </c>
      <c r="E11" s="110">
        <f t="shared" si="0"/>
        <v>4941600</v>
      </c>
      <c r="F11" s="109"/>
    </row>
    <row r="12" spans="1:6" ht="23.25" customHeight="1">
      <c r="A12" s="10">
        <v>5</v>
      </c>
      <c r="B12" s="11" t="s">
        <v>14</v>
      </c>
      <c r="C12" s="12">
        <v>1673280</v>
      </c>
      <c r="D12" s="14">
        <v>60000</v>
      </c>
      <c r="E12" s="110">
        <f t="shared" si="0"/>
        <v>1733280</v>
      </c>
      <c r="F12" s="109"/>
    </row>
    <row r="13" spans="1:5" ht="23.25" customHeight="1">
      <c r="A13" s="13">
        <v>6</v>
      </c>
      <c r="B13" s="11" t="s">
        <v>17</v>
      </c>
      <c r="C13" s="12">
        <v>974640</v>
      </c>
      <c r="D13" s="15">
        <v>0</v>
      </c>
      <c r="E13" s="110">
        <f t="shared" si="0"/>
        <v>974640</v>
      </c>
    </row>
    <row r="14" spans="1:6" ht="23.25" customHeight="1">
      <c r="A14" s="10">
        <v>7</v>
      </c>
      <c r="B14" s="11" t="s">
        <v>16</v>
      </c>
      <c r="C14" s="12">
        <v>3043920</v>
      </c>
      <c r="D14" s="15">
        <v>0</v>
      </c>
      <c r="E14" s="110">
        <f t="shared" si="0"/>
        <v>3043920</v>
      </c>
      <c r="F14" s="109"/>
    </row>
    <row r="15" spans="1:5" ht="23.25" customHeight="1">
      <c r="A15" s="13">
        <v>8</v>
      </c>
      <c r="B15" s="11" t="s">
        <v>19</v>
      </c>
      <c r="C15" s="12">
        <v>1389960</v>
      </c>
      <c r="D15" s="14">
        <v>42000</v>
      </c>
      <c r="E15" s="110">
        <f t="shared" si="0"/>
        <v>1431960</v>
      </c>
    </row>
    <row r="16" spans="1:7" ht="23.25" customHeight="1">
      <c r="A16" s="10">
        <v>9</v>
      </c>
      <c r="B16" s="11" t="s">
        <v>18</v>
      </c>
      <c r="C16" s="12">
        <v>2706672</v>
      </c>
      <c r="D16" s="14">
        <v>12000</v>
      </c>
      <c r="E16" s="110">
        <f t="shared" si="0"/>
        <v>2718672</v>
      </c>
      <c r="G16" s="2"/>
    </row>
    <row r="17" spans="1:5" ht="23.25" customHeight="1">
      <c r="A17" s="13">
        <v>10</v>
      </c>
      <c r="B17" s="11" t="s">
        <v>15</v>
      </c>
      <c r="C17" s="12">
        <v>1415880</v>
      </c>
      <c r="D17" s="37">
        <v>270000</v>
      </c>
      <c r="E17" s="110">
        <f t="shared" si="0"/>
        <v>1685880</v>
      </c>
    </row>
    <row r="18" spans="1:5" ht="23.25" customHeight="1">
      <c r="A18" s="10">
        <v>11</v>
      </c>
      <c r="B18" s="11" t="s">
        <v>20</v>
      </c>
      <c r="C18" s="12">
        <v>661200</v>
      </c>
      <c r="D18" s="37">
        <v>108000</v>
      </c>
      <c r="E18" s="110">
        <f t="shared" si="0"/>
        <v>769200</v>
      </c>
    </row>
    <row r="19" spans="1:5" ht="23.25" customHeight="1">
      <c r="A19" s="13">
        <v>12</v>
      </c>
      <c r="B19" s="11" t="s">
        <v>22</v>
      </c>
      <c r="C19" s="12">
        <v>0</v>
      </c>
      <c r="D19" s="37">
        <v>45120</v>
      </c>
      <c r="E19" s="110">
        <f t="shared" si="0"/>
        <v>45120</v>
      </c>
    </row>
    <row r="20" spans="1:9" ht="23.25" customHeight="1">
      <c r="A20" s="10">
        <v>13</v>
      </c>
      <c r="B20" s="11" t="s">
        <v>21</v>
      </c>
      <c r="C20" s="12">
        <v>107880</v>
      </c>
      <c r="D20" s="37">
        <v>216000</v>
      </c>
      <c r="E20" s="110">
        <f t="shared" si="0"/>
        <v>323880</v>
      </c>
      <c r="H20" s="3"/>
      <c r="I20" s="4"/>
    </row>
    <row r="21" spans="1:5" ht="23.25" customHeight="1">
      <c r="A21" s="13">
        <v>14</v>
      </c>
      <c r="B21" s="11" t="s">
        <v>28</v>
      </c>
      <c r="C21" s="12">
        <v>0</v>
      </c>
      <c r="D21" s="14">
        <v>0</v>
      </c>
      <c r="E21" s="110">
        <f t="shared" si="0"/>
        <v>0</v>
      </c>
    </row>
    <row r="22" spans="1:5" ht="23.25" customHeight="1">
      <c r="A22" s="10">
        <v>15</v>
      </c>
      <c r="B22" s="11" t="s">
        <v>27</v>
      </c>
      <c r="C22" s="12"/>
      <c r="D22" s="14">
        <v>4652487</v>
      </c>
      <c r="E22" s="110">
        <f t="shared" si="0"/>
        <v>4652487</v>
      </c>
    </row>
    <row r="23" spans="1:7" s="4" customFormat="1" ht="26.25" customHeight="1" thickBot="1">
      <c r="A23" s="223" t="s">
        <v>29</v>
      </c>
      <c r="B23" s="224"/>
      <c r="C23" s="16">
        <f>SUM(C8:C22)</f>
        <v>52783431</v>
      </c>
      <c r="D23" s="16">
        <f>SUM(D8:D22)</f>
        <v>17636727</v>
      </c>
      <c r="E23" s="16">
        <f>C23+D23</f>
        <v>70420158</v>
      </c>
      <c r="F23" s="107"/>
      <c r="G23" s="1"/>
    </row>
    <row r="24" spans="1:7" s="4" customFormat="1" ht="26.25" customHeight="1">
      <c r="A24" s="75"/>
      <c r="B24" s="75"/>
      <c r="C24" s="76"/>
      <c r="D24" s="76"/>
      <c r="E24" s="76"/>
      <c r="F24" s="107"/>
      <c r="G24" s="1"/>
    </row>
    <row r="25" spans="1:7" s="4" customFormat="1" ht="15" customHeight="1">
      <c r="A25" s="75"/>
      <c r="B25" s="75"/>
      <c r="C25" s="76"/>
      <c r="D25" s="77"/>
      <c r="E25" s="77"/>
      <c r="F25" s="107"/>
      <c r="G25" s="1"/>
    </row>
    <row r="26" spans="1:7" s="4" customFormat="1" ht="15" customHeight="1">
      <c r="A26" s="217" t="s">
        <v>9</v>
      </c>
      <c r="B26" s="217"/>
      <c r="C26" s="217" t="s">
        <v>222</v>
      </c>
      <c r="D26" s="217"/>
      <c r="E26" s="5" t="s">
        <v>244</v>
      </c>
      <c r="F26" s="107"/>
      <c r="G26" s="1"/>
    </row>
    <row r="27" spans="1:5" ht="15" customHeight="1">
      <c r="A27" s="6"/>
      <c r="B27" s="6"/>
      <c r="C27" s="6"/>
      <c r="D27" s="6"/>
      <c r="E27" s="6"/>
    </row>
    <row r="28" spans="1:5" ht="15" customHeight="1">
      <c r="A28" s="6"/>
      <c r="B28" s="6"/>
      <c r="C28" s="6"/>
      <c r="D28" s="6"/>
      <c r="E28" s="6"/>
    </row>
    <row r="29" spans="1:5" ht="16.5">
      <c r="A29" s="6"/>
      <c r="B29" s="6"/>
      <c r="C29" s="6"/>
      <c r="D29" s="6"/>
      <c r="E29" s="6"/>
    </row>
    <row r="30" spans="1:5" ht="16.5">
      <c r="A30" s="6"/>
      <c r="B30" s="6"/>
      <c r="C30" s="6"/>
      <c r="D30" s="6"/>
      <c r="E30" s="6"/>
    </row>
    <row r="31" spans="1:5" ht="16.5">
      <c r="A31" s="7"/>
      <c r="B31" s="7"/>
      <c r="C31" s="7"/>
      <c r="D31" s="7"/>
      <c r="E31" s="7"/>
    </row>
    <row r="32" spans="1:7" s="2" customFormat="1" ht="16.5">
      <c r="A32" s="217" t="s">
        <v>10</v>
      </c>
      <c r="B32" s="217"/>
      <c r="C32" s="218" t="s">
        <v>104</v>
      </c>
      <c r="D32" s="218"/>
      <c r="E32" s="5" t="s">
        <v>11</v>
      </c>
      <c r="F32" s="107"/>
      <c r="G32" s="1"/>
    </row>
    <row r="34" ht="15">
      <c r="E34" s="17"/>
    </row>
    <row r="35" ht="15">
      <c r="E35" s="18"/>
    </row>
    <row r="36" ht="15">
      <c r="E36" s="18"/>
    </row>
    <row r="37" ht="15">
      <c r="E37" s="19"/>
    </row>
    <row r="40" ht="15">
      <c r="E40" s="19"/>
    </row>
    <row r="41" ht="15">
      <c r="E41" s="18"/>
    </row>
    <row r="43" ht="15">
      <c r="E43" s="19"/>
    </row>
  </sheetData>
  <sheetProtection/>
  <mergeCells count="10">
    <mergeCell ref="A26:B26"/>
    <mergeCell ref="C26:D26"/>
    <mergeCell ref="A32:B32"/>
    <mergeCell ref="C32:D32"/>
    <mergeCell ref="A1:C1"/>
    <mergeCell ref="D1:E1"/>
    <mergeCell ref="A3:E3"/>
    <mergeCell ref="A6:E6"/>
    <mergeCell ref="A23:B23"/>
    <mergeCell ref="A4:E4"/>
  </mergeCells>
  <printOptions horizontalCentered="1"/>
  <pageMargins left="0.68" right="0.236220472440945" top="0.393700787401575" bottom="0.393700787401575" header="0.118110236220472" footer="0.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9"/>
  <sheetViews>
    <sheetView zoomScalePageLayoutView="0" workbookViewId="0" topLeftCell="A28">
      <selection activeCell="H15" sqref="H15"/>
    </sheetView>
  </sheetViews>
  <sheetFormatPr defaultColWidth="9.00390625" defaultRowHeight="12.75"/>
  <cols>
    <col min="1" max="1" width="47.00390625" style="40" customWidth="1"/>
    <col min="2" max="2" width="13.75390625" style="40" customWidth="1"/>
    <col min="3" max="3" width="17.875" style="40" customWidth="1"/>
    <col min="4" max="4" width="18.25390625" style="40" customWidth="1"/>
    <col min="5" max="5" width="19.125" style="40" customWidth="1"/>
    <col min="6" max="6" width="17.375" style="40" customWidth="1"/>
    <col min="7" max="7" width="16.125" style="40" customWidth="1"/>
    <col min="8" max="8" width="13.875" style="40" customWidth="1"/>
    <col min="9" max="10" width="9.125" style="40" customWidth="1"/>
    <col min="11" max="11" width="12.125" style="40" customWidth="1"/>
    <col min="12" max="16384" width="9.125" style="40" customWidth="1"/>
  </cols>
  <sheetData>
    <row r="1" ht="18.75"/>
    <row r="2" ht="18.75">
      <c r="C2" s="40" t="s">
        <v>107</v>
      </c>
    </row>
    <row r="3" spans="1:7" ht="18.75">
      <c r="A3" s="42"/>
      <c r="B3" s="43" t="s">
        <v>105</v>
      </c>
      <c r="C3" s="43" t="s">
        <v>106</v>
      </c>
      <c r="D3" s="43" t="s">
        <v>114</v>
      </c>
      <c r="E3" s="56" t="s">
        <v>134</v>
      </c>
      <c r="F3" s="63" t="s">
        <v>144</v>
      </c>
      <c r="G3" s="41"/>
    </row>
    <row r="4" spans="1:7" ht="18.75">
      <c r="A4" s="54" t="s">
        <v>116</v>
      </c>
      <c r="B4" s="55">
        <f>1744350*1.1</f>
        <v>1918785.0000000002</v>
      </c>
      <c r="C4" s="55">
        <v>0</v>
      </c>
      <c r="D4" s="55">
        <f>B4+C4</f>
        <v>1918785.0000000002</v>
      </c>
      <c r="E4" s="55"/>
      <c r="F4" s="41"/>
      <c r="G4" s="41"/>
    </row>
    <row r="5" spans="1:7" ht="18.75">
      <c r="A5" s="45" t="s">
        <v>125</v>
      </c>
      <c r="B5" s="46">
        <v>0</v>
      </c>
      <c r="C5" s="46">
        <v>0</v>
      </c>
      <c r="D5" s="46"/>
      <c r="E5" s="46"/>
      <c r="F5" s="41"/>
      <c r="G5" s="41"/>
    </row>
    <row r="6" spans="1:7" ht="18.75">
      <c r="A6" s="45" t="s">
        <v>126</v>
      </c>
      <c r="B6" s="47">
        <v>0</v>
      </c>
      <c r="C6" s="48">
        <f>45409*1.1</f>
        <v>49949.9</v>
      </c>
      <c r="D6" s="48">
        <f>C6+B6</f>
        <v>49949.9</v>
      </c>
      <c r="E6" s="48"/>
      <c r="F6" s="41">
        <f aca="true" t="shared" si="0" ref="F6:F15">C6</f>
        <v>49949.9</v>
      </c>
      <c r="G6" s="41"/>
    </row>
    <row r="7" spans="1:7" ht="18.75">
      <c r="A7" s="45" t="s">
        <v>127</v>
      </c>
      <c r="B7" s="47">
        <v>0</v>
      </c>
      <c r="C7" s="48">
        <v>1500</v>
      </c>
      <c r="D7" s="48">
        <f>C7+B7</f>
        <v>1500</v>
      </c>
      <c r="E7" s="48"/>
      <c r="F7" s="41">
        <f t="shared" si="0"/>
        <v>1500</v>
      </c>
      <c r="G7" s="41"/>
    </row>
    <row r="8" spans="1:7" ht="18.75">
      <c r="A8" s="45" t="s">
        <v>135</v>
      </c>
      <c r="B8" s="47"/>
      <c r="C8" s="48">
        <v>5000</v>
      </c>
      <c r="D8" s="48">
        <f>C8+B8</f>
        <v>5000</v>
      </c>
      <c r="E8" s="48"/>
      <c r="F8" s="41">
        <f t="shared" si="0"/>
        <v>5000</v>
      </c>
      <c r="G8" s="41"/>
    </row>
    <row r="9" spans="1:7" ht="18.75">
      <c r="A9" s="45" t="s">
        <v>136</v>
      </c>
      <c r="B9" s="47"/>
      <c r="C9" s="48">
        <v>2500</v>
      </c>
      <c r="D9" s="48">
        <f>C9+B9</f>
        <v>2500</v>
      </c>
      <c r="E9" s="48"/>
      <c r="F9" s="41">
        <f t="shared" si="0"/>
        <v>2500</v>
      </c>
      <c r="G9" s="41"/>
    </row>
    <row r="10" spans="1:7" ht="18.75">
      <c r="A10" s="45" t="s">
        <v>108</v>
      </c>
      <c r="B10" s="46"/>
      <c r="C10" s="46">
        <v>4000</v>
      </c>
      <c r="D10" s="48">
        <f>C10+B10</f>
        <v>4000</v>
      </c>
      <c r="E10" s="46"/>
      <c r="F10" s="68">
        <f t="shared" si="0"/>
        <v>4000</v>
      </c>
      <c r="G10" s="41"/>
    </row>
    <row r="11" spans="1:7" ht="18.75">
      <c r="A11" s="45" t="s">
        <v>146</v>
      </c>
      <c r="B11" s="46"/>
      <c r="C11" s="46"/>
      <c r="D11" s="53"/>
      <c r="E11" s="46"/>
      <c r="F11" s="41">
        <v>3000</v>
      </c>
      <c r="G11" s="41"/>
    </row>
    <row r="12" spans="1:7" ht="18.75">
      <c r="A12" s="45" t="s">
        <v>147</v>
      </c>
      <c r="B12" s="46"/>
      <c r="C12" s="46"/>
      <c r="D12" s="53"/>
      <c r="E12" s="46"/>
      <c r="F12" s="68">
        <v>2000</v>
      </c>
      <c r="G12" s="41"/>
    </row>
    <row r="13" spans="1:7" ht="18.75">
      <c r="A13" s="45" t="s">
        <v>148</v>
      </c>
      <c r="B13" s="46"/>
      <c r="C13" s="46"/>
      <c r="D13" s="53"/>
      <c r="E13" s="46"/>
      <c r="F13" s="69">
        <v>4500</v>
      </c>
      <c r="G13" s="41"/>
    </row>
    <row r="14" spans="1:7" ht="18.75">
      <c r="A14" s="45" t="s">
        <v>109</v>
      </c>
      <c r="B14" s="46"/>
      <c r="C14" s="46">
        <v>3500</v>
      </c>
      <c r="D14" s="46">
        <f aca="true" t="shared" si="1" ref="D14:D26">B14+C14</f>
        <v>3500</v>
      </c>
      <c r="E14" s="46"/>
      <c r="F14" s="68">
        <f t="shared" si="0"/>
        <v>3500</v>
      </c>
      <c r="G14" s="41"/>
    </row>
    <row r="15" spans="1:7" ht="18.75">
      <c r="A15" s="45" t="s">
        <v>110</v>
      </c>
      <c r="B15" s="46"/>
      <c r="C15" s="46">
        <v>4000</v>
      </c>
      <c r="D15" s="46">
        <f t="shared" si="1"/>
        <v>4000</v>
      </c>
      <c r="E15" s="46"/>
      <c r="F15" s="68">
        <f t="shared" si="0"/>
        <v>4000</v>
      </c>
      <c r="G15" s="41"/>
    </row>
    <row r="16" spans="1:7" ht="18.75">
      <c r="A16" s="45" t="s">
        <v>140</v>
      </c>
      <c r="B16" s="46"/>
      <c r="C16" s="46">
        <v>8000</v>
      </c>
      <c r="D16" s="46">
        <f t="shared" si="1"/>
        <v>8000</v>
      </c>
      <c r="E16" s="46"/>
      <c r="F16" s="68">
        <v>4000</v>
      </c>
      <c r="G16" s="41"/>
    </row>
    <row r="17" spans="1:7" ht="18.75">
      <c r="A17" s="45" t="s">
        <v>137</v>
      </c>
      <c r="B17" s="46"/>
      <c r="C17" s="48">
        <v>3300</v>
      </c>
      <c r="D17" s="46">
        <f t="shared" si="1"/>
        <v>3300</v>
      </c>
      <c r="E17" s="46"/>
      <c r="F17" s="68">
        <v>3300</v>
      </c>
      <c r="G17" s="41"/>
    </row>
    <row r="18" spans="1:7" ht="18.75">
      <c r="A18" s="45" t="s">
        <v>138</v>
      </c>
      <c r="B18" s="46"/>
      <c r="C18" s="47"/>
      <c r="D18" s="46"/>
      <c r="E18" s="46"/>
      <c r="F18" s="68">
        <v>2000</v>
      </c>
      <c r="G18" s="41"/>
    </row>
    <row r="19" spans="1:7" ht="18.75">
      <c r="A19" s="45" t="s">
        <v>139</v>
      </c>
      <c r="B19" s="46"/>
      <c r="C19" s="47"/>
      <c r="D19" s="46"/>
      <c r="E19" s="46"/>
      <c r="F19" s="68">
        <v>3500</v>
      </c>
      <c r="G19" s="41"/>
    </row>
    <row r="20" spans="1:7" ht="18.75">
      <c r="A20" s="45" t="s">
        <v>143</v>
      </c>
      <c r="B20" s="46"/>
      <c r="C20" s="47"/>
      <c r="D20" s="46"/>
      <c r="E20" s="46"/>
      <c r="F20" s="67">
        <v>4400</v>
      </c>
      <c r="G20" s="41"/>
    </row>
    <row r="21" spans="1:7" ht="18.75">
      <c r="A21" s="49" t="s">
        <v>111</v>
      </c>
      <c r="B21" s="50"/>
      <c r="C21" s="50">
        <v>60000</v>
      </c>
      <c r="D21" s="46">
        <f t="shared" si="1"/>
        <v>60000</v>
      </c>
      <c r="E21" s="50"/>
      <c r="F21" s="41">
        <f>C21</f>
        <v>60000</v>
      </c>
      <c r="G21" s="41"/>
    </row>
    <row r="22" spans="1:7" ht="18.75">
      <c r="A22" s="45" t="s">
        <v>112</v>
      </c>
      <c r="B22" s="46"/>
      <c r="C22" s="46">
        <v>3300</v>
      </c>
      <c r="D22" s="46">
        <f t="shared" si="1"/>
        <v>3300</v>
      </c>
      <c r="E22" s="46"/>
      <c r="F22" s="41">
        <f>C22</f>
        <v>3300</v>
      </c>
      <c r="G22" s="41"/>
    </row>
    <row r="23" spans="1:7" ht="18.75">
      <c r="A23" s="45" t="s">
        <v>129</v>
      </c>
      <c r="B23" s="46"/>
      <c r="C23" s="46">
        <v>1000</v>
      </c>
      <c r="D23" s="46">
        <f t="shared" si="1"/>
        <v>1000</v>
      </c>
      <c r="E23" s="46"/>
      <c r="F23" s="41">
        <f>C23</f>
        <v>1000</v>
      </c>
      <c r="G23" s="41"/>
    </row>
    <row r="24" spans="1:7" ht="18.75">
      <c r="A24" s="45" t="s">
        <v>150</v>
      </c>
      <c r="B24" s="46"/>
      <c r="C24" s="46"/>
      <c r="D24" s="46"/>
      <c r="E24" s="46"/>
      <c r="F24" s="41">
        <v>1800</v>
      </c>
      <c r="G24" s="44">
        <v>2000</v>
      </c>
    </row>
    <row r="25" spans="1:7" ht="18.75">
      <c r="A25" s="49" t="s">
        <v>113</v>
      </c>
      <c r="B25" s="50"/>
      <c r="C25" s="50">
        <v>1980</v>
      </c>
      <c r="D25" s="50">
        <f t="shared" si="1"/>
        <v>1980</v>
      </c>
      <c r="E25" s="50"/>
      <c r="F25" s="44">
        <f>880*3</f>
        <v>2640</v>
      </c>
      <c r="G25" s="41" t="s">
        <v>145</v>
      </c>
    </row>
    <row r="26" spans="1:7" ht="18.75">
      <c r="A26" s="51" t="s">
        <v>115</v>
      </c>
      <c r="B26" s="52"/>
      <c r="C26" s="52"/>
      <c r="D26" s="52">
        <f t="shared" si="1"/>
        <v>0</v>
      </c>
      <c r="E26" s="52"/>
      <c r="F26" s="41"/>
      <c r="G26" s="41"/>
    </row>
    <row r="27" spans="1:7" ht="41.25" customHeight="1">
      <c r="A27" s="64" t="s">
        <v>154</v>
      </c>
      <c r="B27" s="66">
        <v>10800</v>
      </c>
      <c r="C27" s="65">
        <v>0</v>
      </c>
      <c r="D27" s="65">
        <f aca="true" t="shared" si="2" ref="D27:D44">B27+C27</f>
        <v>10800</v>
      </c>
      <c r="E27" s="65"/>
      <c r="F27" s="41"/>
      <c r="G27" s="41"/>
    </row>
    <row r="28" spans="1:7" ht="18.75">
      <c r="A28" s="45" t="s">
        <v>128</v>
      </c>
      <c r="B28" s="46">
        <f>42000*1.1</f>
        <v>46200.00000000001</v>
      </c>
      <c r="C28" s="46">
        <v>0</v>
      </c>
      <c r="D28" s="65">
        <f t="shared" si="2"/>
        <v>46200.00000000001</v>
      </c>
      <c r="E28" s="46"/>
      <c r="F28" s="41"/>
      <c r="G28" s="41"/>
    </row>
    <row r="29" spans="1:7" ht="18.75">
      <c r="A29" s="45" t="s">
        <v>121</v>
      </c>
      <c r="B29" s="48">
        <f>18245*1.1+308</f>
        <v>20377.5</v>
      </c>
      <c r="C29" s="48">
        <f>B29/11</f>
        <v>1852.5</v>
      </c>
      <c r="D29" s="48">
        <f t="shared" si="2"/>
        <v>22230</v>
      </c>
      <c r="E29" s="46"/>
      <c r="F29" s="41">
        <f>D29/12</f>
        <v>1852.5</v>
      </c>
      <c r="G29" s="41"/>
    </row>
    <row r="30" spans="1:7" ht="18.75">
      <c r="A30" s="45" t="s">
        <v>130</v>
      </c>
      <c r="B30" s="46">
        <v>1300</v>
      </c>
      <c r="C30" s="53">
        <v>2900</v>
      </c>
      <c r="D30" s="46">
        <f t="shared" si="2"/>
        <v>4200</v>
      </c>
      <c r="E30" s="46"/>
      <c r="F30" s="44">
        <v>2900</v>
      </c>
      <c r="G30" s="41"/>
    </row>
    <row r="31" spans="1:7" ht="18.75">
      <c r="A31" s="45" t="s">
        <v>131</v>
      </c>
      <c r="B31" s="46">
        <v>1050</v>
      </c>
      <c r="C31" s="53">
        <v>0</v>
      </c>
      <c r="D31" s="46">
        <f t="shared" si="2"/>
        <v>1050</v>
      </c>
      <c r="E31" s="46"/>
      <c r="F31" s="44"/>
      <c r="G31" s="41"/>
    </row>
    <row r="32" spans="1:7" ht="18.75">
      <c r="A32" s="45" t="s">
        <v>132</v>
      </c>
      <c r="B32" s="46">
        <f>21818*1.1</f>
        <v>23999.800000000003</v>
      </c>
      <c r="C32" s="53">
        <v>2000</v>
      </c>
      <c r="D32" s="46">
        <f t="shared" si="2"/>
        <v>25999.800000000003</v>
      </c>
      <c r="E32" s="46"/>
      <c r="F32" s="44">
        <v>3000</v>
      </c>
      <c r="G32" s="41"/>
    </row>
    <row r="33" spans="1:8" ht="18.75">
      <c r="A33" s="62" t="s">
        <v>133</v>
      </c>
      <c r="B33" s="53">
        <f>5000*11</f>
        <v>55000</v>
      </c>
      <c r="C33" s="53">
        <v>5000</v>
      </c>
      <c r="D33" s="46">
        <f t="shared" si="2"/>
        <v>60000</v>
      </c>
      <c r="E33" s="53"/>
      <c r="F33" s="44">
        <v>5000</v>
      </c>
      <c r="G33" s="70" t="s">
        <v>155</v>
      </c>
      <c r="H33" s="71" t="s">
        <v>156</v>
      </c>
    </row>
    <row r="34" spans="1:8" ht="18.75">
      <c r="A34" s="45" t="s">
        <v>149</v>
      </c>
      <c r="B34" s="48">
        <v>246048</v>
      </c>
      <c r="C34" s="48">
        <f>20224*1.1</f>
        <v>22246.4</v>
      </c>
      <c r="D34" s="46">
        <f t="shared" si="2"/>
        <v>268294.4</v>
      </c>
      <c r="E34" s="46"/>
      <c r="F34" s="41">
        <f>D34/12</f>
        <v>22357.86666666667</v>
      </c>
      <c r="G34" s="72">
        <v>17898</v>
      </c>
      <c r="H34" s="73">
        <v>4460</v>
      </c>
    </row>
    <row r="35" spans="1:7" ht="18.75">
      <c r="A35" s="45" t="s">
        <v>122</v>
      </c>
      <c r="B35" s="50">
        <v>350593</v>
      </c>
      <c r="C35" s="50">
        <v>70000</v>
      </c>
      <c r="D35" s="46">
        <f t="shared" si="2"/>
        <v>420593</v>
      </c>
      <c r="E35" s="46"/>
      <c r="F35" s="41"/>
      <c r="G35" s="41"/>
    </row>
    <row r="36" spans="1:8" ht="18.75">
      <c r="A36" s="45" t="s">
        <v>123</v>
      </c>
      <c r="B36" s="50">
        <v>331511</v>
      </c>
      <c r="C36" s="50">
        <v>30000</v>
      </c>
      <c r="D36" s="46">
        <f t="shared" si="2"/>
        <v>361511</v>
      </c>
      <c r="E36" s="46"/>
      <c r="F36" s="74">
        <f>G36+H36</f>
        <v>30138</v>
      </c>
      <c r="G36" s="72">
        <v>28979</v>
      </c>
      <c r="H36" s="73">
        <v>1159</v>
      </c>
    </row>
    <row r="37" spans="1:11" ht="18.75">
      <c r="A37" s="45" t="s">
        <v>151</v>
      </c>
      <c r="B37" s="48">
        <v>22000</v>
      </c>
      <c r="C37" s="46">
        <v>0</v>
      </c>
      <c r="D37" s="46">
        <f t="shared" si="2"/>
        <v>22000</v>
      </c>
      <c r="E37" s="46"/>
      <c r="F37" s="60">
        <f>2000</f>
        <v>2000</v>
      </c>
      <c r="G37" s="60">
        <v>1800</v>
      </c>
      <c r="H37" s="61" t="s">
        <v>141</v>
      </c>
      <c r="I37" s="61" t="s">
        <v>142</v>
      </c>
      <c r="J37" s="61"/>
      <c r="K37" s="48">
        <f>274273*1.1</f>
        <v>301700.30000000005</v>
      </c>
    </row>
    <row r="38" spans="1:10" ht="18.75">
      <c r="A38" s="45" t="s">
        <v>152</v>
      </c>
      <c r="B38" s="48">
        <v>276000</v>
      </c>
      <c r="C38" s="46">
        <v>0</v>
      </c>
      <c r="D38" s="46">
        <f t="shared" si="2"/>
        <v>276000</v>
      </c>
      <c r="E38" s="46"/>
      <c r="F38" s="60">
        <f>D38/12</f>
        <v>23000</v>
      </c>
      <c r="G38" s="60"/>
      <c r="H38" s="61"/>
      <c r="I38" s="61"/>
      <c r="J38" s="61"/>
    </row>
    <row r="39" spans="1:10" ht="18.75">
      <c r="A39" s="45" t="s">
        <v>153</v>
      </c>
      <c r="B39" s="48">
        <f>3364*1.1</f>
        <v>3700.4</v>
      </c>
      <c r="C39" s="46">
        <v>400</v>
      </c>
      <c r="D39" s="46">
        <f t="shared" si="2"/>
        <v>4100.4</v>
      </c>
      <c r="E39" s="46"/>
      <c r="F39" s="60"/>
      <c r="G39" s="60"/>
      <c r="H39" s="61"/>
      <c r="I39" s="61"/>
      <c r="J39" s="61"/>
    </row>
    <row r="40" spans="1:7" ht="18.75">
      <c r="A40" s="45" t="s">
        <v>117</v>
      </c>
      <c r="B40" s="50">
        <v>35000</v>
      </c>
      <c r="C40" s="46">
        <v>0</v>
      </c>
      <c r="D40" s="46">
        <f t="shared" si="2"/>
        <v>35000</v>
      </c>
      <c r="E40" s="46"/>
      <c r="F40" s="41"/>
      <c r="G40" s="41"/>
    </row>
    <row r="41" spans="1:7" ht="18.75">
      <c r="A41" s="45" t="s">
        <v>118</v>
      </c>
      <c r="B41" s="48">
        <f>144799*1.1</f>
        <v>159278.90000000002</v>
      </c>
      <c r="C41" s="48">
        <f>(12000+393)*1.1</f>
        <v>13632.300000000001</v>
      </c>
      <c r="D41" s="46">
        <f t="shared" si="2"/>
        <v>172911.2</v>
      </c>
      <c r="E41" s="46"/>
      <c r="F41" s="41"/>
      <c r="G41" s="41"/>
    </row>
    <row r="42" spans="1:7" ht="18.75">
      <c r="A42" s="45" t="s">
        <v>119</v>
      </c>
      <c r="B42" s="50">
        <v>110000</v>
      </c>
      <c r="C42" s="50">
        <v>10000</v>
      </c>
      <c r="D42" s="46">
        <f t="shared" si="2"/>
        <v>120000</v>
      </c>
      <c r="E42" s="46"/>
      <c r="F42" s="41"/>
      <c r="G42" s="41"/>
    </row>
    <row r="43" spans="1:7" ht="18.75">
      <c r="A43" s="45" t="s">
        <v>124</v>
      </c>
      <c r="B43" s="48">
        <f>396772*1.1</f>
        <v>436449.2</v>
      </c>
      <c r="C43" s="48">
        <f>35000*1.1</f>
        <v>38500</v>
      </c>
      <c r="D43" s="46">
        <f t="shared" si="2"/>
        <v>474949.2</v>
      </c>
      <c r="E43" s="46"/>
      <c r="F43" s="41"/>
      <c r="G43" s="41"/>
    </row>
    <row r="44" spans="1:7" ht="18.75">
      <c r="A44" s="57" t="s">
        <v>120</v>
      </c>
      <c r="B44" s="58">
        <v>22000</v>
      </c>
      <c r="C44" s="58"/>
      <c r="D44" s="46">
        <f t="shared" si="2"/>
        <v>22000</v>
      </c>
      <c r="E44" s="58"/>
      <c r="F44" s="41"/>
      <c r="G44" s="41"/>
    </row>
    <row r="45" spans="1:6" ht="18.75">
      <c r="A45" s="42"/>
      <c r="B45" s="59">
        <f>SUM(B4:B44)</f>
        <v>4070092.8000000003</v>
      </c>
      <c r="C45" s="59">
        <f>SUM(C4:C44)</f>
        <v>344561.1</v>
      </c>
      <c r="D45" s="59">
        <f>SUM(D4:D44)</f>
        <v>4414653.9</v>
      </c>
      <c r="E45" s="59"/>
      <c r="F45" s="41"/>
    </row>
    <row r="46" spans="2:6" ht="18.75">
      <c r="B46" s="41"/>
      <c r="C46" s="41"/>
      <c r="D46" s="41">
        <f>B45+C45</f>
        <v>4414653.9</v>
      </c>
      <c r="E46" s="41"/>
      <c r="F46" s="41"/>
    </row>
    <row r="47" spans="2:6" ht="18.75">
      <c r="B47" s="41"/>
      <c r="C47" s="41"/>
      <c r="D47" s="41"/>
      <c r="E47" s="41"/>
      <c r="F47" s="41"/>
    </row>
    <row r="48" spans="2:6" ht="18.75">
      <c r="B48" s="41"/>
      <c r="C48" s="41"/>
      <c r="D48" s="41"/>
      <c r="E48" s="41"/>
      <c r="F48" s="41"/>
    </row>
    <row r="49" spans="2:6" ht="18.75">
      <c r="B49" s="41"/>
      <c r="C49" s="41"/>
      <c r="D49" s="41"/>
      <c r="E49" s="41"/>
      <c r="F49" s="41"/>
    </row>
    <row r="50" spans="2:6" ht="18.75">
      <c r="B50" s="41"/>
      <c r="C50" s="41"/>
      <c r="D50" s="41"/>
      <c r="E50" s="41"/>
      <c r="F50" s="41"/>
    </row>
    <row r="51" spans="2:6" ht="18.75">
      <c r="B51" s="41"/>
      <c r="C51" s="41"/>
      <c r="D51" s="41"/>
      <c r="E51" s="41"/>
      <c r="F51" s="41"/>
    </row>
    <row r="52" spans="2:6" ht="18.75">
      <c r="B52" s="41"/>
      <c r="C52" s="41"/>
      <c r="D52" s="41"/>
      <c r="E52" s="41"/>
      <c r="F52" s="41"/>
    </row>
    <row r="53" spans="2:6" ht="18.75">
      <c r="B53" s="41"/>
      <c r="C53" s="41"/>
      <c r="D53" s="41"/>
      <c r="E53" s="41"/>
      <c r="F53" s="41"/>
    </row>
    <row r="54" spans="2:6" ht="18.75">
      <c r="B54" s="41"/>
      <c r="C54" s="41"/>
      <c r="D54" s="41"/>
      <c r="E54" s="41"/>
      <c r="F54" s="41"/>
    </row>
    <row r="55" spans="2:6" ht="18.75">
      <c r="B55" s="41"/>
      <c r="C55" s="41"/>
      <c r="D55" s="41"/>
      <c r="E55" s="41"/>
      <c r="F55" s="41"/>
    </row>
    <row r="56" spans="2:6" ht="18.75">
      <c r="B56" s="41"/>
      <c r="C56" s="41"/>
      <c r="D56" s="41"/>
      <c r="E56" s="41"/>
      <c r="F56" s="41"/>
    </row>
    <row r="57" spans="2:6" ht="18.75">
      <c r="B57" s="41"/>
      <c r="C57" s="41"/>
      <c r="D57" s="41"/>
      <c r="E57" s="41"/>
      <c r="F57" s="41"/>
    </row>
    <row r="58" spans="2:6" ht="18.75">
      <c r="B58" s="41"/>
      <c r="C58" s="41"/>
      <c r="D58" s="41"/>
      <c r="E58" s="41"/>
      <c r="F58" s="41"/>
    </row>
    <row r="59" spans="2:6" ht="18.75">
      <c r="B59" s="41"/>
      <c r="C59" s="41"/>
      <c r="D59" s="41"/>
      <c r="E59" s="41"/>
      <c r="F59" s="41"/>
    </row>
  </sheetData>
  <sheetProtection/>
  <autoFilter ref="A3:K3"/>
  <printOptions/>
  <pageMargins left="0.2" right="0.2" top="0.26" bottom="0.31" header="0.2" footer="0.21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2" sqref="E2:E24"/>
    </sheetView>
  </sheetViews>
  <sheetFormatPr defaultColWidth="9.00390625" defaultRowHeight="12.75"/>
  <cols>
    <col min="1" max="1" width="3.875" style="91" bestFit="1" customWidth="1"/>
    <col min="2" max="2" width="23.25390625" style="91" bestFit="1" customWidth="1"/>
    <col min="3" max="3" width="8.75390625" style="91" bestFit="1" customWidth="1"/>
    <col min="4" max="4" width="12.00390625" style="91" bestFit="1" customWidth="1"/>
    <col min="5" max="6" width="15.125" style="91" bestFit="1" customWidth="1"/>
    <col min="7" max="7" width="16.75390625" style="101" customWidth="1"/>
    <col min="8" max="8" width="17.25390625" style="91" customWidth="1"/>
    <col min="9" max="9" width="15.125" style="91" bestFit="1" customWidth="1"/>
    <col min="10" max="16384" width="9.125" style="91" customWidth="1"/>
  </cols>
  <sheetData>
    <row r="1" spans="5:9" s="97" customFormat="1" ht="37.5" customHeight="1">
      <c r="E1" s="97" t="s">
        <v>159</v>
      </c>
      <c r="F1" s="97" t="s">
        <v>230</v>
      </c>
      <c r="G1" s="99" t="s">
        <v>229</v>
      </c>
      <c r="H1" s="97" t="s">
        <v>231</v>
      </c>
      <c r="I1" s="97" t="s">
        <v>232</v>
      </c>
    </row>
    <row r="2" spans="1:9" ht="15.75">
      <c r="A2" s="21" t="s">
        <v>5</v>
      </c>
      <c r="B2" s="22" t="s">
        <v>43</v>
      </c>
      <c r="C2" s="23"/>
      <c r="D2" s="33"/>
      <c r="E2" s="20">
        <v>21076572.937000003</v>
      </c>
      <c r="F2" s="20">
        <f>E2/11</f>
        <v>1916052.0851818183</v>
      </c>
      <c r="G2" s="98">
        <f>SUM(G3:G12)</f>
        <v>2432359.5</v>
      </c>
      <c r="H2" s="20" t="e">
        <f>SUM(H3:H12)</f>
        <v>#REF!</v>
      </c>
      <c r="I2" s="20" t="e">
        <f>H2+E2</f>
        <v>#REF!</v>
      </c>
    </row>
    <row r="3" spans="1:9" ht="15.75">
      <c r="A3" s="26">
        <v>1</v>
      </c>
      <c r="B3" s="78" t="s">
        <v>44</v>
      </c>
      <c r="C3" s="27" t="s">
        <v>45</v>
      </c>
      <c r="D3" s="32" t="s">
        <v>45</v>
      </c>
      <c r="E3" s="25">
        <v>11646488.963</v>
      </c>
      <c r="F3" s="25">
        <f aca="true" t="shared" si="0" ref="F3:F24">E3/11</f>
        <v>1058771.723909091</v>
      </c>
      <c r="G3" s="100">
        <f>'[7]Sheet'!$I$19/1000</f>
        <v>963073.693</v>
      </c>
      <c r="H3" s="25" t="e">
        <f>#REF!*25%*75%-'Chi phí 2016'!E3</f>
        <v>#REF!</v>
      </c>
      <c r="I3" s="25" t="e">
        <f>H3+E3</f>
        <v>#REF!</v>
      </c>
    </row>
    <row r="4" spans="1:9" ht="15.75">
      <c r="A4" s="26">
        <v>2</v>
      </c>
      <c r="B4" s="30" t="s">
        <v>46</v>
      </c>
      <c r="C4" s="31" t="s">
        <v>45</v>
      </c>
      <c r="D4" s="34" t="s">
        <v>45</v>
      </c>
      <c r="E4" s="25">
        <v>1145930.4</v>
      </c>
      <c r="F4" s="25">
        <f t="shared" si="0"/>
        <v>104175.4909090909</v>
      </c>
      <c r="G4" s="100">
        <f>SUM('[7]Sheet'!$I$20:$J$23)/1000</f>
        <v>87806.64</v>
      </c>
      <c r="H4" s="25">
        <f>F4</f>
        <v>104175.4909090909</v>
      </c>
      <c r="I4" s="25">
        <f aca="true" t="shared" si="1" ref="I4:I12">H4+E4</f>
        <v>1250105.8909090909</v>
      </c>
    </row>
    <row r="5" spans="1:9" ht="15.75">
      <c r="A5" s="26">
        <v>3</v>
      </c>
      <c r="B5" s="30" t="s">
        <v>47</v>
      </c>
      <c r="C5" s="31" t="s">
        <v>48</v>
      </c>
      <c r="D5" s="34" t="s">
        <v>99</v>
      </c>
      <c r="E5" s="25">
        <v>1493399.075</v>
      </c>
      <c r="F5" s="25">
        <f t="shared" si="0"/>
        <v>135763.55227272728</v>
      </c>
      <c r="G5" s="100">
        <f>('[7]Sheet'!$I$28+'[7]Sheet'!$I$29)/1000</f>
        <v>156219.805</v>
      </c>
      <c r="H5" s="25">
        <f>G5</f>
        <v>156219.805</v>
      </c>
      <c r="I5" s="25">
        <f t="shared" si="1"/>
        <v>1649618.88</v>
      </c>
    </row>
    <row r="6" spans="1:9" ht="15.75">
      <c r="A6" s="26">
        <v>5</v>
      </c>
      <c r="B6" s="87" t="s">
        <v>49</v>
      </c>
      <c r="C6" s="27" t="s">
        <v>50</v>
      </c>
      <c r="D6" s="32" t="s">
        <v>50</v>
      </c>
      <c r="E6" s="25">
        <v>547520.745</v>
      </c>
      <c r="F6" s="25">
        <f t="shared" si="0"/>
        <v>49774.61318181818</v>
      </c>
      <c r="G6" s="100">
        <f>'[7]Sheet'!$I$34/1000</f>
        <v>79598.859</v>
      </c>
      <c r="H6" s="25">
        <f>G6</f>
        <v>79598.859</v>
      </c>
      <c r="I6" s="25">
        <f t="shared" si="1"/>
        <v>627119.604</v>
      </c>
    </row>
    <row r="7" spans="1:9" ht="15.75">
      <c r="A7" s="26">
        <v>6</v>
      </c>
      <c r="B7" s="87" t="s">
        <v>51</v>
      </c>
      <c r="C7" s="27" t="s">
        <v>52</v>
      </c>
      <c r="D7" s="32" t="s">
        <v>100</v>
      </c>
      <c r="E7" s="25">
        <v>646756.43</v>
      </c>
      <c r="F7" s="25">
        <f t="shared" si="0"/>
        <v>58796.03909090909</v>
      </c>
      <c r="G7" s="100">
        <f>('[7]Sheet'!$I$33+'[7]Sheet'!$I$35)/1000</f>
        <v>89830.052</v>
      </c>
      <c r="H7" s="25">
        <f>G7</f>
        <v>89830.052</v>
      </c>
      <c r="I7" s="25">
        <f t="shared" si="1"/>
        <v>736586.4820000001</v>
      </c>
    </row>
    <row r="8" spans="1:9" ht="15.75">
      <c r="A8" s="26">
        <v>7</v>
      </c>
      <c r="B8" s="78" t="s">
        <v>53</v>
      </c>
      <c r="C8" s="27" t="s">
        <v>54</v>
      </c>
      <c r="D8" s="32" t="s">
        <v>54</v>
      </c>
      <c r="E8" s="25">
        <v>224567.784</v>
      </c>
      <c r="F8" s="25">
        <f t="shared" si="0"/>
        <v>20415.253090909093</v>
      </c>
      <c r="G8" s="100">
        <f>'[7]Sheet'!$I$25/1000</f>
        <v>35639.099</v>
      </c>
      <c r="H8" s="25">
        <f>F8</f>
        <v>20415.253090909093</v>
      </c>
      <c r="I8" s="25">
        <f t="shared" si="1"/>
        <v>244983.0370909091</v>
      </c>
    </row>
    <row r="9" spans="1:9" ht="15.75">
      <c r="A9" s="26">
        <v>8</v>
      </c>
      <c r="B9" s="78" t="s">
        <v>55</v>
      </c>
      <c r="C9" s="27" t="s">
        <v>56</v>
      </c>
      <c r="D9" s="32" t="s">
        <v>101</v>
      </c>
      <c r="E9" s="25">
        <v>1961871.496</v>
      </c>
      <c r="F9" s="25">
        <f t="shared" si="0"/>
        <v>178351.95418181818</v>
      </c>
      <c r="G9" s="100">
        <f>('[7]Sheet'!$I$31+7025334)/1000</f>
        <v>251910.384</v>
      </c>
      <c r="H9" s="25">
        <f>G9</f>
        <v>251910.384</v>
      </c>
      <c r="I9" s="25">
        <f t="shared" si="1"/>
        <v>2213781.88</v>
      </c>
    </row>
    <row r="10" spans="1:9" ht="15.75">
      <c r="A10" s="26">
        <v>9</v>
      </c>
      <c r="B10" s="78" t="s">
        <v>57</v>
      </c>
      <c r="C10" s="27" t="s">
        <v>56</v>
      </c>
      <c r="D10" s="32" t="s">
        <v>56</v>
      </c>
      <c r="E10" s="25">
        <v>1002396.51</v>
      </c>
      <c r="F10" s="25">
        <f t="shared" si="0"/>
        <v>91126.95545454546</v>
      </c>
      <c r="G10" s="100"/>
      <c r="H10" s="25"/>
      <c r="I10" s="25">
        <f t="shared" si="1"/>
        <v>1002396.51</v>
      </c>
    </row>
    <row r="11" spans="1:9" ht="15.75">
      <c r="A11" s="26">
        <v>10</v>
      </c>
      <c r="B11" s="78" t="s">
        <v>58</v>
      </c>
      <c r="C11" s="27" t="s">
        <v>59</v>
      </c>
      <c r="D11" s="32" t="s">
        <v>59</v>
      </c>
      <c r="E11" s="25">
        <v>460422.076</v>
      </c>
      <c r="F11" s="25">
        <f t="shared" si="0"/>
        <v>41856.552363636365</v>
      </c>
      <c r="G11" s="100">
        <f>('[7]Sheet'!$I$37+'[7]Sheet'!$I$27)/1000</f>
        <v>575110.458</v>
      </c>
      <c r="H11" s="25">
        <f>F11</f>
        <v>41856.552363636365</v>
      </c>
      <c r="I11" s="25">
        <f t="shared" si="1"/>
        <v>502278.6283636364</v>
      </c>
    </row>
    <row r="12" spans="1:9" ht="15.75">
      <c r="A12" s="26">
        <v>11</v>
      </c>
      <c r="B12" s="78" t="s">
        <v>60</v>
      </c>
      <c r="C12" s="27" t="s">
        <v>61</v>
      </c>
      <c r="D12" s="32" t="s">
        <v>102</v>
      </c>
      <c r="E12" s="25">
        <v>1947219.458</v>
      </c>
      <c r="F12" s="25">
        <f t="shared" si="0"/>
        <v>177019.95072727275</v>
      </c>
      <c r="G12" s="100">
        <f>'[7]Sheet'!$I$17/1000</f>
        <v>193170.51</v>
      </c>
      <c r="H12" s="25">
        <f>G12</f>
        <v>193170.51</v>
      </c>
      <c r="I12" s="25">
        <f t="shared" si="1"/>
        <v>2140389.9680000003</v>
      </c>
    </row>
    <row r="13" spans="1:9" ht="15.75">
      <c r="A13" s="21" t="s">
        <v>6</v>
      </c>
      <c r="B13" s="22" t="s">
        <v>62</v>
      </c>
      <c r="C13" s="29" t="s">
        <v>63</v>
      </c>
      <c r="D13" s="33" t="s">
        <v>63</v>
      </c>
      <c r="E13" s="20">
        <v>0</v>
      </c>
      <c r="F13" s="20">
        <f t="shared" si="0"/>
        <v>0</v>
      </c>
      <c r="G13" s="98"/>
      <c r="H13" s="20">
        <v>350000</v>
      </c>
      <c r="I13" s="20">
        <f>H13+E13</f>
        <v>350000</v>
      </c>
    </row>
    <row r="14" spans="1:9" ht="15.75">
      <c r="A14" s="21" t="s">
        <v>7</v>
      </c>
      <c r="B14" s="22" t="s">
        <v>157</v>
      </c>
      <c r="C14" s="29" t="s">
        <v>64</v>
      </c>
      <c r="D14" s="33" t="s">
        <v>64</v>
      </c>
      <c r="E14" s="20">
        <v>8147299.598999999</v>
      </c>
      <c r="F14" s="20">
        <f t="shared" si="0"/>
        <v>740663.5999090909</v>
      </c>
      <c r="G14" s="98">
        <f>SUM(G15:G24)</f>
        <v>504509.885</v>
      </c>
      <c r="H14" s="20" t="e">
        <f>SUM(H15:H24)</f>
        <v>#REF!</v>
      </c>
      <c r="I14" s="20" t="e">
        <f aca="true" t="shared" si="2" ref="I14:I24">H14+E14</f>
        <v>#REF!</v>
      </c>
    </row>
    <row r="15" spans="1:9" ht="38.25">
      <c r="A15" s="26">
        <v>1</v>
      </c>
      <c r="B15" s="30" t="s">
        <v>65</v>
      </c>
      <c r="C15" s="31" t="s">
        <v>66</v>
      </c>
      <c r="D15" s="34" t="s">
        <v>66</v>
      </c>
      <c r="E15" s="25">
        <v>3882162.986</v>
      </c>
      <c r="F15" s="25">
        <f t="shared" si="0"/>
        <v>352923.90781818185</v>
      </c>
      <c r="G15" s="100">
        <f>'[8]Sheet'!$I$17/1000</f>
        <v>96158.359</v>
      </c>
      <c r="H15" s="25" t="e">
        <f>#REF!*25%*25%-'Chi phí 2016'!E15</f>
        <v>#REF!</v>
      </c>
      <c r="I15" s="25" t="e">
        <f t="shared" si="2"/>
        <v>#REF!</v>
      </c>
    </row>
    <row r="16" spans="1:9" ht="15.75">
      <c r="A16" s="26">
        <v>2</v>
      </c>
      <c r="B16" s="30" t="s">
        <v>46</v>
      </c>
      <c r="C16" s="31" t="s">
        <v>66</v>
      </c>
      <c r="D16" s="34" t="s">
        <v>66</v>
      </c>
      <c r="E16" s="25">
        <v>249808.16</v>
      </c>
      <c r="F16" s="25">
        <f t="shared" si="0"/>
        <v>22709.83272727273</v>
      </c>
      <c r="G16" s="100">
        <f>SUM('[8]Sheet'!$I$19:$J$22)/1000</f>
        <v>19124.04</v>
      </c>
      <c r="H16" s="25">
        <f>F16</f>
        <v>22709.83272727273</v>
      </c>
      <c r="I16" s="25">
        <f t="shared" si="2"/>
        <v>272517.99272727274</v>
      </c>
    </row>
    <row r="17" spans="1:9" ht="15.75">
      <c r="A17" s="26">
        <v>3</v>
      </c>
      <c r="B17" s="30" t="s">
        <v>67</v>
      </c>
      <c r="C17" s="31" t="s">
        <v>68</v>
      </c>
      <c r="D17" s="34" t="s">
        <v>68</v>
      </c>
      <c r="E17" s="25">
        <v>174451.489</v>
      </c>
      <c r="F17" s="25">
        <f t="shared" si="0"/>
        <v>15859.226272727274</v>
      </c>
      <c r="G17" s="100">
        <f>'[8]Sheet'!$I$15/1000</f>
        <v>15525.82</v>
      </c>
      <c r="H17" s="25">
        <f>F17</f>
        <v>15859.226272727274</v>
      </c>
      <c r="I17" s="25">
        <f t="shared" si="2"/>
        <v>190310.71527272728</v>
      </c>
    </row>
    <row r="18" spans="1:9" ht="15.75">
      <c r="A18" s="26">
        <v>5</v>
      </c>
      <c r="B18" s="87" t="s">
        <v>69</v>
      </c>
      <c r="C18" s="27" t="s">
        <v>50</v>
      </c>
      <c r="D18" s="32" t="s">
        <v>50</v>
      </c>
      <c r="E18" s="25"/>
      <c r="F18" s="25">
        <f t="shared" si="0"/>
        <v>0</v>
      </c>
      <c r="G18" s="100"/>
      <c r="H18" s="25"/>
      <c r="I18" s="25">
        <f t="shared" si="2"/>
        <v>0</v>
      </c>
    </row>
    <row r="19" spans="1:9" ht="15.75">
      <c r="A19" s="26">
        <v>6</v>
      </c>
      <c r="B19" s="78" t="s">
        <v>70</v>
      </c>
      <c r="C19" s="27" t="s">
        <v>71</v>
      </c>
      <c r="D19" s="32" t="s">
        <v>71</v>
      </c>
      <c r="E19" s="25">
        <v>60915.352</v>
      </c>
      <c r="F19" s="25">
        <f t="shared" si="0"/>
        <v>5537.759272727272</v>
      </c>
      <c r="G19" s="100">
        <f>'[8]Sheet'!$I$31/1000</f>
        <v>5937.879</v>
      </c>
      <c r="H19" s="25">
        <f>F19</f>
        <v>5537.759272727272</v>
      </c>
      <c r="I19" s="25">
        <f t="shared" si="2"/>
        <v>66453.11127272727</v>
      </c>
    </row>
    <row r="20" spans="1:9" ht="25.5">
      <c r="A20" s="26">
        <v>7</v>
      </c>
      <c r="B20" s="30" t="s">
        <v>72</v>
      </c>
      <c r="C20" s="31" t="s">
        <v>73</v>
      </c>
      <c r="D20" s="34" t="s">
        <v>73</v>
      </c>
      <c r="E20" s="25">
        <v>668801.316</v>
      </c>
      <c r="F20" s="25">
        <f t="shared" si="0"/>
        <v>60800.11963636363</v>
      </c>
      <c r="G20" s="100">
        <f>'[8]Sheet'!$I$25/1000</f>
        <v>42533.625</v>
      </c>
      <c r="H20" s="25">
        <f>F20</f>
        <v>60800.11963636363</v>
      </c>
      <c r="I20" s="25">
        <f t="shared" si="2"/>
        <v>729601.4356363636</v>
      </c>
    </row>
    <row r="21" spans="1:9" ht="15.75">
      <c r="A21" s="26">
        <v>8</v>
      </c>
      <c r="B21" s="30" t="s">
        <v>74</v>
      </c>
      <c r="C21" s="31" t="s">
        <v>75</v>
      </c>
      <c r="D21" s="34" t="s">
        <v>75</v>
      </c>
      <c r="E21" s="25">
        <v>25576.182</v>
      </c>
      <c r="F21" s="25">
        <f t="shared" si="0"/>
        <v>2325.1074545454544</v>
      </c>
      <c r="G21" s="100"/>
      <c r="H21" s="25"/>
      <c r="I21" s="25">
        <f t="shared" si="2"/>
        <v>25576.182</v>
      </c>
    </row>
    <row r="22" spans="1:9" ht="15.75">
      <c r="A22" s="26">
        <v>9</v>
      </c>
      <c r="B22" s="30" t="s">
        <v>76</v>
      </c>
      <c r="C22" s="31" t="s">
        <v>77</v>
      </c>
      <c r="D22" s="34" t="s">
        <v>77</v>
      </c>
      <c r="E22" s="25">
        <v>502431.512</v>
      </c>
      <c r="F22" s="25">
        <f t="shared" si="0"/>
        <v>45675.592</v>
      </c>
      <c r="G22" s="100">
        <f>'[8]Sheet'!$I$26/1000</f>
        <v>53994.798</v>
      </c>
      <c r="H22" s="25">
        <f>G22</f>
        <v>53994.798</v>
      </c>
      <c r="I22" s="25">
        <f t="shared" si="2"/>
        <v>556426.3099999999</v>
      </c>
    </row>
    <row r="23" spans="1:9" ht="25.5">
      <c r="A23" s="26">
        <v>10</v>
      </c>
      <c r="B23" s="30" t="s">
        <v>78</v>
      </c>
      <c r="C23" s="31" t="s">
        <v>79</v>
      </c>
      <c r="D23" s="34" t="s">
        <v>79</v>
      </c>
      <c r="E23" s="25">
        <v>904667.107</v>
      </c>
      <c r="F23" s="25">
        <f t="shared" si="0"/>
        <v>82242.46427272727</v>
      </c>
      <c r="G23" s="100">
        <f>'[8]Sheet'!$I$23/1000</f>
        <v>125000</v>
      </c>
      <c r="H23" s="25">
        <f>G23</f>
        <v>125000</v>
      </c>
      <c r="I23" s="25">
        <f>H23+E23</f>
        <v>1029667.107</v>
      </c>
    </row>
    <row r="24" spans="1:9" ht="15.75">
      <c r="A24" s="26">
        <v>11</v>
      </c>
      <c r="B24" s="30" t="s">
        <v>55</v>
      </c>
      <c r="C24" s="31" t="s">
        <v>79</v>
      </c>
      <c r="D24" s="34" t="s">
        <v>79</v>
      </c>
      <c r="E24" s="25">
        <v>1678485.495</v>
      </c>
      <c r="F24" s="25">
        <f t="shared" si="0"/>
        <v>152589.59045454545</v>
      </c>
      <c r="G24" s="100">
        <f>('[8]Sheet'!$I$30+'[8]Sheet'!$I$18)/1000</f>
        <v>146235.364</v>
      </c>
      <c r="H24" s="25">
        <f>F24</f>
        <v>152589.59045454545</v>
      </c>
      <c r="I24" s="25">
        <f t="shared" si="2"/>
        <v>1831075.0854545454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A13">
      <selection activeCell="N24" sqref="N24"/>
    </sheetView>
  </sheetViews>
  <sheetFormatPr defaultColWidth="9.00390625" defaultRowHeight="12.75"/>
  <cols>
    <col min="1" max="1" width="3.375" style="9" customWidth="1"/>
    <col min="2" max="2" width="2.00390625" style="9" customWidth="1"/>
    <col min="3" max="3" width="27.875" style="9" customWidth="1"/>
    <col min="4" max="4" width="21.00390625" style="9" customWidth="1"/>
    <col min="5" max="5" width="10.875" style="9" customWidth="1"/>
    <col min="6" max="6" width="1.25" style="9" customWidth="1"/>
    <col min="7" max="7" width="4.375" style="9" customWidth="1"/>
    <col min="8" max="8" width="14.625" style="9" customWidth="1"/>
    <col min="9" max="9" width="9.375" style="9" customWidth="1"/>
    <col min="10" max="10" width="4.875" style="9" customWidth="1"/>
    <col min="11" max="11" width="13.875" style="9" bestFit="1" customWidth="1"/>
    <col min="12" max="12" width="9.125" style="9" customWidth="1"/>
    <col min="13" max="13" width="12.75390625" style="9" bestFit="1" customWidth="1"/>
    <col min="14" max="16384" width="9.125" style="9" customWidth="1"/>
  </cols>
  <sheetData>
    <row r="1" spans="1:10" ht="16.5" customHeight="1">
      <c r="A1" s="237" t="s">
        <v>160</v>
      </c>
      <c r="B1" s="243" t="s">
        <v>161</v>
      </c>
      <c r="C1" s="243"/>
      <c r="D1" s="243"/>
      <c r="E1" s="243"/>
      <c r="F1" s="237"/>
      <c r="G1" s="237"/>
      <c r="H1" s="237"/>
      <c r="I1" s="237"/>
      <c r="J1" s="237"/>
    </row>
    <row r="2" spans="1:10" ht="1.5" customHeight="1">
      <c r="A2" s="244"/>
      <c r="B2" s="243"/>
      <c r="C2" s="243"/>
      <c r="D2" s="243"/>
      <c r="E2" s="243"/>
      <c r="F2" s="244"/>
      <c r="G2" s="244"/>
      <c r="H2" s="244"/>
      <c r="I2" s="244"/>
      <c r="J2" s="244"/>
    </row>
    <row r="3" spans="1:10" ht="18" customHeight="1">
      <c r="A3" s="92"/>
      <c r="B3" s="245" t="s">
        <v>162</v>
      </c>
      <c r="C3" s="245"/>
      <c r="D3" s="245"/>
      <c r="E3" s="245"/>
      <c r="F3" s="92"/>
      <c r="G3" s="92"/>
      <c r="H3" s="92"/>
      <c r="I3" s="92"/>
      <c r="J3" s="92"/>
    </row>
    <row r="4" spans="1:10" ht="26.25" customHeight="1">
      <c r="A4" s="246" t="s">
        <v>163</v>
      </c>
      <c r="B4" s="246"/>
      <c r="C4" s="246"/>
      <c r="D4" s="246"/>
      <c r="E4" s="246"/>
      <c r="F4" s="246"/>
      <c r="G4" s="246"/>
      <c r="H4" s="246"/>
      <c r="I4" s="246"/>
      <c r="J4" s="246"/>
    </row>
    <row r="5" spans="1:10" ht="16.5" customHeight="1">
      <c r="A5" s="247" t="s">
        <v>164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ht="16.5" customHeight="1">
      <c r="A6" s="247" t="s">
        <v>165</v>
      </c>
      <c r="B6" s="247"/>
      <c r="C6" s="247"/>
      <c r="D6" s="247"/>
      <c r="E6" s="247"/>
      <c r="F6" s="247"/>
      <c r="G6" s="247"/>
      <c r="H6" s="247"/>
      <c r="I6" s="247"/>
      <c r="J6" s="247"/>
    </row>
    <row r="7" spans="1:10" ht="6.75" customHeight="1">
      <c r="A7" s="92"/>
      <c r="B7" s="92"/>
      <c r="C7" s="92"/>
      <c r="D7" s="92"/>
      <c r="E7" s="92"/>
      <c r="F7" s="92"/>
      <c r="G7" s="92"/>
      <c r="H7" s="92"/>
      <c r="I7" s="92"/>
      <c r="J7" s="92"/>
    </row>
    <row r="8" spans="1:10" ht="16.5" customHeight="1">
      <c r="A8" s="247" t="s">
        <v>166</v>
      </c>
      <c r="B8" s="247"/>
      <c r="C8" s="247"/>
      <c r="D8" s="247"/>
      <c r="E8" s="247"/>
      <c r="F8" s="247"/>
      <c r="G8" s="247"/>
      <c r="H8" s="247"/>
      <c r="I8" s="247"/>
      <c r="J8" s="247"/>
    </row>
    <row r="9" spans="1:10" ht="7.5" customHeight="1">
      <c r="A9" s="92"/>
      <c r="B9" s="92"/>
      <c r="C9" s="92"/>
      <c r="D9" s="92"/>
      <c r="E9" s="92"/>
      <c r="F9" s="92"/>
      <c r="G9" s="92"/>
      <c r="H9" s="92"/>
      <c r="I9" s="92"/>
      <c r="J9" s="92"/>
    </row>
    <row r="10" spans="1:10" ht="16.5" customHeight="1">
      <c r="A10" s="237" t="s">
        <v>167</v>
      </c>
      <c r="B10" s="237"/>
      <c r="C10" s="237"/>
      <c r="D10" s="237"/>
      <c r="E10" s="237"/>
      <c r="F10" s="237"/>
      <c r="G10" s="237"/>
      <c r="H10" s="237"/>
      <c r="I10" s="237"/>
      <c r="J10" s="237"/>
    </row>
    <row r="11" spans="1:10" ht="7.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6.5" customHeight="1">
      <c r="A12" s="238"/>
      <c r="B12" s="238"/>
      <c r="C12" s="239"/>
      <c r="D12" s="239"/>
      <c r="E12" s="240" t="s">
        <v>168</v>
      </c>
      <c r="F12" s="240"/>
      <c r="G12" s="240"/>
      <c r="H12" s="240"/>
      <c r="I12" s="240"/>
      <c r="J12" s="240"/>
    </row>
    <row r="13" spans="1:10" ht="24.75" customHeight="1">
      <c r="A13" s="241" t="s">
        <v>169</v>
      </c>
      <c r="B13" s="241"/>
      <c r="C13" s="242" t="s">
        <v>170</v>
      </c>
      <c r="D13" s="242"/>
      <c r="E13" s="242" t="s">
        <v>171</v>
      </c>
      <c r="F13" s="242"/>
      <c r="G13" s="242"/>
      <c r="H13" s="93" t="s">
        <v>172</v>
      </c>
      <c r="I13" s="242" t="s">
        <v>173</v>
      </c>
      <c r="J13" s="242"/>
    </row>
    <row r="14" spans="1:10" ht="15.75" customHeight="1">
      <c r="A14" s="230" t="s">
        <v>160</v>
      </c>
      <c r="B14" s="230"/>
      <c r="C14" s="231"/>
      <c r="D14" s="231"/>
      <c r="E14" s="228">
        <v>293966787</v>
      </c>
      <c r="F14" s="228"/>
      <c r="G14" s="228"/>
      <c r="H14" s="94">
        <v>2300227000</v>
      </c>
      <c r="I14" s="228">
        <v>-2006260213</v>
      </c>
      <c r="J14" s="228"/>
    </row>
    <row r="15" spans="1:10" ht="15.75" customHeight="1">
      <c r="A15" s="232"/>
      <c r="B15" s="232"/>
      <c r="C15" s="235" t="s">
        <v>233</v>
      </c>
      <c r="D15" s="235"/>
      <c r="E15" s="236">
        <v>293966787</v>
      </c>
      <c r="F15" s="236"/>
      <c r="G15" s="236"/>
      <c r="H15" s="95">
        <v>2300227000</v>
      </c>
      <c r="I15" s="234">
        <v>-2006260213</v>
      </c>
      <c r="J15" s="234"/>
    </row>
    <row r="16" spans="1:11" ht="15" customHeight="1">
      <c r="A16" s="230" t="s">
        <v>174</v>
      </c>
      <c r="B16" s="230"/>
      <c r="C16" s="231" t="s">
        <v>175</v>
      </c>
      <c r="D16" s="231"/>
      <c r="E16" s="228">
        <v>1947219458</v>
      </c>
      <c r="F16" s="228"/>
      <c r="G16" s="228"/>
      <c r="H16" s="94">
        <v>0</v>
      </c>
      <c r="I16" s="228">
        <v>1947219458</v>
      </c>
      <c r="J16" s="228"/>
      <c r="K16" s="8">
        <f>I16/1000</f>
        <v>1947219.458</v>
      </c>
    </row>
    <row r="17" spans="1:10" ht="15.75" customHeight="1">
      <c r="A17" s="232" t="s">
        <v>176</v>
      </c>
      <c r="B17" s="232"/>
      <c r="C17" s="233" t="s">
        <v>177</v>
      </c>
      <c r="D17" s="233"/>
      <c r="E17" s="234">
        <v>1947219458</v>
      </c>
      <c r="F17" s="234"/>
      <c r="G17" s="234"/>
      <c r="H17" s="95">
        <v>0</v>
      </c>
      <c r="I17" s="234">
        <v>1947219458</v>
      </c>
      <c r="J17" s="234"/>
    </row>
    <row r="18" spans="1:10" ht="15" customHeight="1">
      <c r="A18" s="230" t="s">
        <v>178</v>
      </c>
      <c r="B18" s="230"/>
      <c r="C18" s="231" t="s">
        <v>179</v>
      </c>
      <c r="D18" s="231"/>
      <c r="E18" s="228">
        <v>12792419363</v>
      </c>
      <c r="F18" s="228"/>
      <c r="G18" s="228"/>
      <c r="H18" s="94">
        <v>0</v>
      </c>
      <c r="I18" s="228">
        <v>12792419363</v>
      </c>
      <c r="J18" s="228"/>
    </row>
    <row r="19" spans="1:11" ht="15.75" customHeight="1">
      <c r="A19" s="232" t="s">
        <v>178</v>
      </c>
      <c r="B19" s="232"/>
      <c r="C19" s="233" t="s">
        <v>180</v>
      </c>
      <c r="D19" s="233"/>
      <c r="E19" s="234">
        <v>11646488963</v>
      </c>
      <c r="F19" s="234"/>
      <c r="G19" s="234"/>
      <c r="H19" s="95">
        <v>0</v>
      </c>
      <c r="I19" s="234">
        <v>11646488963</v>
      </c>
      <c r="J19" s="234"/>
      <c r="K19" s="8">
        <f>I19/1000</f>
        <v>11646488.963</v>
      </c>
    </row>
    <row r="20" spans="1:11" ht="15.75" customHeight="1">
      <c r="A20" s="232" t="s">
        <v>181</v>
      </c>
      <c r="B20" s="232"/>
      <c r="C20" s="233" t="s">
        <v>182</v>
      </c>
      <c r="D20" s="233"/>
      <c r="E20" s="234">
        <v>857085300</v>
      </c>
      <c r="F20" s="234"/>
      <c r="G20" s="234"/>
      <c r="H20" s="95">
        <v>0</v>
      </c>
      <c r="I20" s="234">
        <v>857085300</v>
      </c>
      <c r="J20" s="234"/>
      <c r="K20" s="8">
        <f>(I20+I21+I22+I23)/1000</f>
        <v>1145930.4</v>
      </c>
    </row>
    <row r="21" spans="1:10" ht="16.5" customHeight="1">
      <c r="A21" s="232" t="s">
        <v>183</v>
      </c>
      <c r="B21" s="232"/>
      <c r="C21" s="233" t="s">
        <v>184</v>
      </c>
      <c r="D21" s="233"/>
      <c r="E21" s="234">
        <v>142847550</v>
      </c>
      <c r="F21" s="234"/>
      <c r="G21" s="234"/>
      <c r="H21" s="95">
        <v>0</v>
      </c>
      <c r="I21" s="234">
        <v>142847550</v>
      </c>
      <c r="J21" s="234"/>
    </row>
    <row r="22" spans="1:10" ht="15.75" customHeight="1">
      <c r="A22" s="232" t="s">
        <v>185</v>
      </c>
      <c r="B22" s="232"/>
      <c r="C22" s="233" t="s">
        <v>186</v>
      </c>
      <c r="D22" s="233"/>
      <c r="E22" s="234">
        <v>98381700</v>
      </c>
      <c r="F22" s="234"/>
      <c r="G22" s="234"/>
      <c r="H22" s="95">
        <v>0</v>
      </c>
      <c r="I22" s="234">
        <v>98381700</v>
      </c>
      <c r="J22" s="234"/>
    </row>
    <row r="23" spans="1:10" ht="15.75" customHeight="1">
      <c r="A23" s="232" t="s">
        <v>187</v>
      </c>
      <c r="B23" s="232"/>
      <c r="C23" s="233" t="s">
        <v>188</v>
      </c>
      <c r="D23" s="233"/>
      <c r="E23" s="234">
        <v>47615850</v>
      </c>
      <c r="F23" s="234"/>
      <c r="G23" s="234"/>
      <c r="H23" s="95">
        <v>0</v>
      </c>
      <c r="I23" s="234">
        <v>47615850</v>
      </c>
      <c r="J23" s="234"/>
    </row>
    <row r="24" spans="1:10" ht="15" customHeight="1">
      <c r="A24" s="230" t="s">
        <v>189</v>
      </c>
      <c r="B24" s="230"/>
      <c r="C24" s="231" t="s">
        <v>190</v>
      </c>
      <c r="D24" s="231"/>
      <c r="E24" s="228">
        <v>224567784</v>
      </c>
      <c r="F24" s="228"/>
      <c r="G24" s="228"/>
      <c r="H24" s="94">
        <v>0</v>
      </c>
      <c r="I24" s="228">
        <v>224567784</v>
      </c>
      <c r="J24" s="228"/>
    </row>
    <row r="25" spans="1:11" ht="15.75" customHeight="1">
      <c r="A25" s="232" t="s">
        <v>189</v>
      </c>
      <c r="B25" s="232"/>
      <c r="C25" s="233" t="s">
        <v>191</v>
      </c>
      <c r="D25" s="233"/>
      <c r="E25" s="234">
        <v>224567784</v>
      </c>
      <c r="F25" s="234"/>
      <c r="G25" s="234"/>
      <c r="H25" s="95">
        <v>0</v>
      </c>
      <c r="I25" s="234">
        <v>224567784</v>
      </c>
      <c r="J25" s="234"/>
      <c r="K25" s="8">
        <f>I25/1000</f>
        <v>224567.784</v>
      </c>
    </row>
    <row r="26" spans="1:11" ht="15" customHeight="1">
      <c r="A26" s="230" t="s">
        <v>192</v>
      </c>
      <c r="B26" s="230"/>
      <c r="C26" s="231" t="s">
        <v>193</v>
      </c>
      <c r="D26" s="231"/>
      <c r="E26" s="228">
        <v>1676304284</v>
      </c>
      <c r="F26" s="228"/>
      <c r="G26" s="228"/>
      <c r="H26" s="94">
        <v>0</v>
      </c>
      <c r="I26" s="228">
        <v>1676304284</v>
      </c>
      <c r="J26" s="228"/>
      <c r="K26" s="8">
        <f>(I28+I29+53704700)/1000</f>
        <v>1493399.075</v>
      </c>
    </row>
    <row r="27" spans="1:10" ht="16.5" customHeight="1">
      <c r="A27" s="232" t="s">
        <v>194</v>
      </c>
      <c r="B27" s="232"/>
      <c r="C27" s="233" t="s">
        <v>195</v>
      </c>
      <c r="D27" s="233"/>
      <c r="E27" s="234">
        <v>236609909</v>
      </c>
      <c r="F27" s="234"/>
      <c r="G27" s="234"/>
      <c r="H27" s="95">
        <v>0</v>
      </c>
      <c r="I27" s="234">
        <v>236609909</v>
      </c>
      <c r="J27" s="234"/>
    </row>
    <row r="28" spans="1:10" ht="15.75" customHeight="1">
      <c r="A28" s="232" t="s">
        <v>196</v>
      </c>
      <c r="B28" s="232"/>
      <c r="C28" s="233" t="s">
        <v>197</v>
      </c>
      <c r="D28" s="233"/>
      <c r="E28" s="234">
        <v>734875359</v>
      </c>
      <c r="F28" s="234"/>
      <c r="G28" s="234"/>
      <c r="H28" s="95">
        <v>0</v>
      </c>
      <c r="I28" s="234">
        <v>734875359</v>
      </c>
      <c r="J28" s="234"/>
    </row>
    <row r="29" spans="1:10" ht="15.75" customHeight="1">
      <c r="A29" s="232" t="s">
        <v>198</v>
      </c>
      <c r="B29" s="232"/>
      <c r="C29" s="233" t="s">
        <v>199</v>
      </c>
      <c r="D29" s="233"/>
      <c r="E29" s="234">
        <v>704819016</v>
      </c>
      <c r="F29" s="234"/>
      <c r="G29" s="234"/>
      <c r="H29" s="95">
        <v>0</v>
      </c>
      <c r="I29" s="234">
        <v>704819016</v>
      </c>
      <c r="J29" s="234"/>
    </row>
    <row r="30" spans="1:11" ht="15" customHeight="1">
      <c r="A30" s="230" t="s">
        <v>200</v>
      </c>
      <c r="B30" s="230"/>
      <c r="C30" s="231" t="s">
        <v>201</v>
      </c>
      <c r="D30" s="231"/>
      <c r="E30" s="228">
        <v>1795399587</v>
      </c>
      <c r="F30" s="228"/>
      <c r="G30" s="228"/>
      <c r="H30" s="94">
        <v>0</v>
      </c>
      <c r="I30" s="228">
        <v>1795399587</v>
      </c>
      <c r="J30" s="228"/>
      <c r="K30" s="8">
        <f>(I30+166471909)/1000</f>
        <v>1961871.496</v>
      </c>
    </row>
    <row r="31" spans="1:13" ht="15.75" customHeight="1">
      <c r="A31" s="232" t="s">
        <v>202</v>
      </c>
      <c r="B31" s="232"/>
      <c r="C31" s="233" t="s">
        <v>201</v>
      </c>
      <c r="D31" s="233"/>
      <c r="E31" s="234">
        <v>1795399587</v>
      </c>
      <c r="F31" s="234"/>
      <c r="G31" s="234"/>
      <c r="H31" s="95">
        <v>0</v>
      </c>
      <c r="I31" s="234">
        <v>1795399587</v>
      </c>
      <c r="J31" s="234"/>
      <c r="M31" s="8">
        <f>I31-369262159</f>
        <v>1426137428</v>
      </c>
    </row>
    <row r="32" spans="1:10" ht="15" customHeight="1">
      <c r="A32" s="230" t="s">
        <v>203</v>
      </c>
      <c r="B32" s="230"/>
      <c r="C32" s="231" t="s">
        <v>204</v>
      </c>
      <c r="D32" s="231"/>
      <c r="E32" s="228">
        <v>3302623510</v>
      </c>
      <c r="F32" s="228"/>
      <c r="G32" s="228"/>
      <c r="H32" s="94">
        <v>0</v>
      </c>
      <c r="I32" s="228">
        <v>3302623510</v>
      </c>
      <c r="J32" s="228"/>
    </row>
    <row r="33" spans="1:11" ht="16.5" customHeight="1">
      <c r="A33" s="232" t="s">
        <v>205</v>
      </c>
      <c r="B33" s="232"/>
      <c r="C33" s="233" t="s">
        <v>206</v>
      </c>
      <c r="D33" s="233"/>
      <c r="E33" s="234">
        <v>3302623510</v>
      </c>
      <c r="F33" s="234"/>
      <c r="G33" s="234"/>
      <c r="H33" s="95">
        <v>0</v>
      </c>
      <c r="I33" s="234">
        <v>3302623510</v>
      </c>
      <c r="J33" s="234"/>
      <c r="K33" s="8">
        <f>(I33-H15)/1000</f>
        <v>1002396.51</v>
      </c>
    </row>
    <row r="34" spans="1:11" ht="15" customHeight="1">
      <c r="A34" s="230" t="s">
        <v>207</v>
      </c>
      <c r="B34" s="230"/>
      <c r="C34" s="231" t="s">
        <v>208</v>
      </c>
      <c r="D34" s="231"/>
      <c r="E34" s="228">
        <v>1122486997</v>
      </c>
      <c r="F34" s="228"/>
      <c r="G34" s="228"/>
      <c r="H34" s="94">
        <v>0</v>
      </c>
      <c r="I34" s="228">
        <v>1122486997</v>
      </c>
      <c r="J34" s="228"/>
      <c r="K34" s="8">
        <f>(I35+I37+71790178)/1000</f>
        <v>646756.43</v>
      </c>
    </row>
    <row r="35" spans="1:10" ht="15.75" customHeight="1">
      <c r="A35" s="232" t="s">
        <v>209</v>
      </c>
      <c r="B35" s="232"/>
      <c r="C35" s="233" t="s">
        <v>210</v>
      </c>
      <c r="D35" s="233"/>
      <c r="E35" s="234">
        <v>361119934</v>
      </c>
      <c r="F35" s="234"/>
      <c r="G35" s="234"/>
      <c r="H35" s="95">
        <v>0</v>
      </c>
      <c r="I35" s="234">
        <v>361119934</v>
      </c>
      <c r="J35" s="234"/>
    </row>
    <row r="36" spans="1:11" ht="15.75" customHeight="1">
      <c r="A36" s="232" t="s">
        <v>211</v>
      </c>
      <c r="B36" s="232"/>
      <c r="C36" s="233" t="s">
        <v>212</v>
      </c>
      <c r="D36" s="233"/>
      <c r="E36" s="234">
        <v>547520745</v>
      </c>
      <c r="F36" s="234"/>
      <c r="G36" s="234"/>
      <c r="H36" s="95">
        <v>0</v>
      </c>
      <c r="I36" s="234">
        <v>547520745</v>
      </c>
      <c r="J36" s="234"/>
      <c r="K36" s="8">
        <f>I36/1000</f>
        <v>547520.745</v>
      </c>
    </row>
    <row r="37" spans="1:10" ht="15.75" customHeight="1">
      <c r="A37" s="232" t="s">
        <v>213</v>
      </c>
      <c r="B37" s="232"/>
      <c r="C37" s="233" t="s">
        <v>214</v>
      </c>
      <c r="D37" s="233"/>
      <c r="E37" s="234">
        <v>213846318</v>
      </c>
      <c r="F37" s="234"/>
      <c r="G37" s="234"/>
      <c r="H37" s="95">
        <v>0</v>
      </c>
      <c r="I37" s="234">
        <v>213846318</v>
      </c>
      <c r="J37" s="234"/>
    </row>
    <row r="38" spans="1:11" ht="15" customHeight="1">
      <c r="A38" s="230" t="s">
        <v>215</v>
      </c>
      <c r="B38" s="230"/>
      <c r="C38" s="231" t="s">
        <v>216</v>
      </c>
      <c r="D38" s="231"/>
      <c r="E38" s="228">
        <v>221812167</v>
      </c>
      <c r="F38" s="228"/>
      <c r="G38" s="228"/>
      <c r="H38" s="94">
        <v>0</v>
      </c>
      <c r="I38" s="228">
        <v>221812167</v>
      </c>
      <c r="J38" s="228"/>
      <c r="K38" s="8">
        <f>(I27+I39+2000000)/1000</f>
        <v>460422.076</v>
      </c>
    </row>
    <row r="39" spans="1:10" ht="16.5" customHeight="1">
      <c r="A39" s="232" t="s">
        <v>217</v>
      </c>
      <c r="B39" s="232"/>
      <c r="C39" s="233" t="s">
        <v>218</v>
      </c>
      <c r="D39" s="233"/>
      <c r="E39" s="234">
        <v>221812167</v>
      </c>
      <c r="F39" s="234"/>
      <c r="G39" s="234"/>
      <c r="H39" s="95">
        <v>0</v>
      </c>
      <c r="I39" s="234">
        <v>221812167</v>
      </c>
      <c r="J39" s="234"/>
    </row>
    <row r="40" spans="1:10" ht="15" customHeight="1">
      <c r="A40" s="227" t="s">
        <v>219</v>
      </c>
      <c r="B40" s="227"/>
      <c r="C40" s="227"/>
      <c r="D40" s="227"/>
      <c r="E40" s="228">
        <v>23376799937</v>
      </c>
      <c r="F40" s="228"/>
      <c r="G40" s="228"/>
      <c r="H40" s="94">
        <v>2300227000</v>
      </c>
      <c r="I40" s="228">
        <v>21076572937</v>
      </c>
      <c r="J40" s="228"/>
    </row>
    <row r="41" spans="1:10" ht="16.5" customHeight="1">
      <c r="A41" s="226" t="s">
        <v>220</v>
      </c>
      <c r="B41" s="226"/>
      <c r="C41" s="226"/>
      <c r="D41" s="226"/>
      <c r="E41" s="226"/>
      <c r="F41" s="226"/>
      <c r="G41" s="226"/>
      <c r="H41" s="226"/>
      <c r="I41" s="226"/>
      <c r="J41" s="226"/>
    </row>
    <row r="42" spans="1:10" ht="16.5" customHeight="1">
      <c r="A42" s="229" t="s">
        <v>221</v>
      </c>
      <c r="B42" s="229"/>
      <c r="C42" s="229"/>
      <c r="D42" s="229"/>
      <c r="E42" s="229"/>
      <c r="F42" s="229"/>
      <c r="G42" s="229" t="s">
        <v>222</v>
      </c>
      <c r="H42" s="229"/>
      <c r="I42" s="229"/>
      <c r="J42" s="229"/>
    </row>
    <row r="43" spans="1:10" ht="1.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</row>
    <row r="44" spans="1:10" ht="16.5" customHeight="1">
      <c r="A44" s="226" t="s">
        <v>223</v>
      </c>
      <c r="B44" s="226"/>
      <c r="C44" s="226"/>
      <c r="D44" s="226"/>
      <c r="E44" s="226"/>
      <c r="F44" s="226"/>
      <c r="G44" s="226"/>
      <c r="H44" s="226"/>
      <c r="I44" s="226"/>
      <c r="J44" s="96">
        <v>1</v>
      </c>
    </row>
  </sheetData>
  <sheetProtection/>
  <mergeCells count="126">
    <mergeCell ref="A1:J2"/>
    <mergeCell ref="B3:E3"/>
    <mergeCell ref="A4:J4"/>
    <mergeCell ref="A5:J5"/>
    <mergeCell ref="A6:J6"/>
    <mergeCell ref="A8:J8"/>
    <mergeCell ref="A10:J10"/>
    <mergeCell ref="A12:B12"/>
    <mergeCell ref="C12:D12"/>
    <mergeCell ref="E12:J12"/>
    <mergeCell ref="A13:B13"/>
    <mergeCell ref="C13:D13"/>
    <mergeCell ref="E13:G13"/>
    <mergeCell ref="I13:J13"/>
    <mergeCell ref="A14:B14"/>
    <mergeCell ref="C14:D14"/>
    <mergeCell ref="E14:G14"/>
    <mergeCell ref="I14:J14"/>
    <mergeCell ref="A15:B15"/>
    <mergeCell ref="C15:D15"/>
    <mergeCell ref="E15:G15"/>
    <mergeCell ref="I15:J15"/>
    <mergeCell ref="A16:B16"/>
    <mergeCell ref="C16:D16"/>
    <mergeCell ref="E16:G16"/>
    <mergeCell ref="I16:J16"/>
    <mergeCell ref="A17:B17"/>
    <mergeCell ref="C17:D17"/>
    <mergeCell ref="E17:G17"/>
    <mergeCell ref="I17:J17"/>
    <mergeCell ref="A18:B18"/>
    <mergeCell ref="C18:D18"/>
    <mergeCell ref="E18:G18"/>
    <mergeCell ref="I18:J18"/>
    <mergeCell ref="A19:B19"/>
    <mergeCell ref="C19:D19"/>
    <mergeCell ref="E19:G19"/>
    <mergeCell ref="I19:J19"/>
    <mergeCell ref="A20:B20"/>
    <mergeCell ref="C20:D20"/>
    <mergeCell ref="E20:G20"/>
    <mergeCell ref="I20:J20"/>
    <mergeCell ref="A21:B21"/>
    <mergeCell ref="C21:D21"/>
    <mergeCell ref="E21:G21"/>
    <mergeCell ref="I21:J21"/>
    <mergeCell ref="A22:B22"/>
    <mergeCell ref="C22:D22"/>
    <mergeCell ref="E22:G22"/>
    <mergeCell ref="I22:J22"/>
    <mergeCell ref="A23:B23"/>
    <mergeCell ref="C23:D23"/>
    <mergeCell ref="E23:G23"/>
    <mergeCell ref="I23:J23"/>
    <mergeCell ref="A24:B24"/>
    <mergeCell ref="C24:D24"/>
    <mergeCell ref="E24:G24"/>
    <mergeCell ref="I24:J24"/>
    <mergeCell ref="A25:B25"/>
    <mergeCell ref="C25:D25"/>
    <mergeCell ref="E25:G25"/>
    <mergeCell ref="I25:J25"/>
    <mergeCell ref="A26:B26"/>
    <mergeCell ref="C26:D26"/>
    <mergeCell ref="E26:G26"/>
    <mergeCell ref="I26:J26"/>
    <mergeCell ref="A27:B27"/>
    <mergeCell ref="C27:D27"/>
    <mergeCell ref="E27:G27"/>
    <mergeCell ref="I27:J27"/>
    <mergeCell ref="A28:B28"/>
    <mergeCell ref="C28:D28"/>
    <mergeCell ref="E28:G28"/>
    <mergeCell ref="I28:J28"/>
    <mergeCell ref="A29:B29"/>
    <mergeCell ref="C29:D29"/>
    <mergeCell ref="E29:G29"/>
    <mergeCell ref="I29:J29"/>
    <mergeCell ref="A30:B30"/>
    <mergeCell ref="C30:D30"/>
    <mergeCell ref="E30:G30"/>
    <mergeCell ref="I30:J30"/>
    <mergeCell ref="A31:B31"/>
    <mergeCell ref="C31:D31"/>
    <mergeCell ref="E31:G31"/>
    <mergeCell ref="I31:J31"/>
    <mergeCell ref="A32:B32"/>
    <mergeCell ref="C32:D32"/>
    <mergeCell ref="E32:G32"/>
    <mergeCell ref="I32:J32"/>
    <mergeCell ref="A33:B33"/>
    <mergeCell ref="C33:D33"/>
    <mergeCell ref="E33:G33"/>
    <mergeCell ref="I33:J33"/>
    <mergeCell ref="A34:B34"/>
    <mergeCell ref="C34:D34"/>
    <mergeCell ref="E34:G34"/>
    <mergeCell ref="I34:J34"/>
    <mergeCell ref="A35:B35"/>
    <mergeCell ref="C35:D35"/>
    <mergeCell ref="E35:G35"/>
    <mergeCell ref="I35:J35"/>
    <mergeCell ref="A36:B36"/>
    <mergeCell ref="C36:D36"/>
    <mergeCell ref="E36:G36"/>
    <mergeCell ref="I36:J36"/>
    <mergeCell ref="A37:B37"/>
    <mergeCell ref="C37:D37"/>
    <mergeCell ref="E37:G37"/>
    <mergeCell ref="I37:J37"/>
    <mergeCell ref="A38:B38"/>
    <mergeCell ref="C38:D38"/>
    <mergeCell ref="E38:G38"/>
    <mergeCell ref="I38:J38"/>
    <mergeCell ref="A39:B39"/>
    <mergeCell ref="C39:D39"/>
    <mergeCell ref="E39:G39"/>
    <mergeCell ref="I39:J39"/>
    <mergeCell ref="A44:I44"/>
    <mergeCell ref="A40:D40"/>
    <mergeCell ref="E40:G40"/>
    <mergeCell ref="I40:J40"/>
    <mergeCell ref="A41:J41"/>
    <mergeCell ref="A42:C42"/>
    <mergeCell ref="D42:F42"/>
    <mergeCell ref="G42:J4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3">
      <selection activeCell="C15" sqref="C15:G15"/>
    </sheetView>
  </sheetViews>
  <sheetFormatPr defaultColWidth="9.00390625" defaultRowHeight="12.75"/>
  <cols>
    <col min="1" max="1" width="3.375" style="9" customWidth="1"/>
    <col min="2" max="2" width="2.00390625" style="9" customWidth="1"/>
    <col min="3" max="3" width="27.875" style="9" customWidth="1"/>
    <col min="4" max="4" width="21.00390625" style="9" customWidth="1"/>
    <col min="5" max="5" width="10.875" style="9" customWidth="1"/>
    <col min="6" max="6" width="1.25" style="9" customWidth="1"/>
    <col min="7" max="7" width="4.375" style="9" customWidth="1"/>
    <col min="8" max="8" width="14.625" style="9" customWidth="1"/>
    <col min="9" max="9" width="9.375" style="9" customWidth="1"/>
    <col min="10" max="10" width="4.875" style="9" customWidth="1"/>
    <col min="11" max="11" width="12.75390625" style="9" bestFit="1" customWidth="1"/>
    <col min="12" max="16384" width="9.125" style="9" customWidth="1"/>
  </cols>
  <sheetData>
    <row r="1" spans="1:10" ht="16.5" customHeight="1">
      <c r="A1" s="248"/>
      <c r="B1" s="243" t="s">
        <v>161</v>
      </c>
      <c r="C1" s="243"/>
      <c r="D1" s="243"/>
      <c r="E1" s="243"/>
      <c r="F1" s="92"/>
      <c r="G1" s="92"/>
      <c r="H1" s="92"/>
      <c r="I1" s="92"/>
      <c r="J1" s="92"/>
    </row>
    <row r="2" spans="1:10" ht="1.5" customHeight="1">
      <c r="A2" s="248"/>
      <c r="B2" s="243"/>
      <c r="C2" s="243"/>
      <c r="D2" s="243"/>
      <c r="E2" s="243"/>
      <c r="F2" s="92"/>
      <c r="G2" s="92"/>
      <c r="H2" s="92"/>
      <c r="I2" s="92"/>
      <c r="J2" s="92"/>
    </row>
    <row r="3" spans="1:10" ht="18" customHeight="1">
      <c r="A3" s="92"/>
      <c r="B3" s="245" t="s">
        <v>162</v>
      </c>
      <c r="C3" s="245"/>
      <c r="D3" s="245"/>
      <c r="E3" s="245"/>
      <c r="F3" s="92"/>
      <c r="G3" s="92"/>
      <c r="H3" s="92"/>
      <c r="I3" s="92"/>
      <c r="J3" s="92"/>
    </row>
    <row r="4" spans="1:10" ht="26.25" customHeight="1">
      <c r="A4" s="246" t="s">
        <v>163</v>
      </c>
      <c r="B4" s="246"/>
      <c r="C4" s="246"/>
      <c r="D4" s="246"/>
      <c r="E4" s="246"/>
      <c r="F4" s="246"/>
      <c r="G4" s="246"/>
      <c r="H4" s="246"/>
      <c r="I4" s="246"/>
      <c r="J4" s="246"/>
    </row>
    <row r="5" spans="1:10" ht="16.5" customHeight="1">
      <c r="A5" s="247" t="s">
        <v>224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ht="16.5" customHeight="1">
      <c r="A6" s="247" t="s">
        <v>165</v>
      </c>
      <c r="B6" s="247"/>
      <c r="C6" s="247"/>
      <c r="D6" s="247"/>
      <c r="E6" s="247"/>
      <c r="F6" s="247"/>
      <c r="G6" s="247"/>
      <c r="H6" s="247"/>
      <c r="I6" s="247"/>
      <c r="J6" s="247"/>
    </row>
    <row r="7" spans="1:10" ht="6.75" customHeight="1">
      <c r="A7" s="92"/>
      <c r="B7" s="92"/>
      <c r="C7" s="92"/>
      <c r="D7" s="92"/>
      <c r="E7" s="92"/>
      <c r="F7" s="92"/>
      <c r="G7" s="92"/>
      <c r="H7" s="92"/>
      <c r="I7" s="92"/>
      <c r="J7" s="92"/>
    </row>
    <row r="8" spans="1:10" ht="16.5" customHeight="1">
      <c r="A8" s="247" t="s">
        <v>166</v>
      </c>
      <c r="B8" s="247"/>
      <c r="C8" s="247"/>
      <c r="D8" s="247"/>
      <c r="E8" s="247"/>
      <c r="F8" s="247"/>
      <c r="G8" s="247"/>
      <c r="H8" s="247"/>
      <c r="I8" s="247"/>
      <c r="J8" s="247"/>
    </row>
    <row r="9" spans="1:10" ht="7.5" customHeight="1">
      <c r="A9" s="92"/>
      <c r="B9" s="92"/>
      <c r="C9" s="92"/>
      <c r="D9" s="92"/>
      <c r="E9" s="92"/>
      <c r="F9" s="92"/>
      <c r="G9" s="92"/>
      <c r="H9" s="92"/>
      <c r="I9" s="92"/>
      <c r="J9" s="92"/>
    </row>
    <row r="10" spans="1:10" ht="16.5" customHeight="1">
      <c r="A10" s="237" t="s">
        <v>167</v>
      </c>
      <c r="B10" s="237"/>
      <c r="C10" s="237"/>
      <c r="D10" s="237"/>
      <c r="E10" s="237"/>
      <c r="F10" s="237"/>
      <c r="G10" s="237"/>
      <c r="H10" s="237"/>
      <c r="I10" s="237"/>
      <c r="J10" s="237"/>
    </row>
    <row r="11" spans="1:10" ht="7.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6.5" customHeight="1">
      <c r="A12" s="238"/>
      <c r="B12" s="238"/>
      <c r="C12" s="239"/>
      <c r="D12" s="239"/>
      <c r="E12" s="240" t="s">
        <v>168</v>
      </c>
      <c r="F12" s="240"/>
      <c r="G12" s="240"/>
      <c r="H12" s="240"/>
      <c r="I12" s="240"/>
      <c r="J12" s="240"/>
    </row>
    <row r="13" spans="1:10" ht="24.75" customHeight="1">
      <c r="A13" s="241" t="s">
        <v>169</v>
      </c>
      <c r="B13" s="241"/>
      <c r="C13" s="242" t="s">
        <v>170</v>
      </c>
      <c r="D13" s="242"/>
      <c r="E13" s="242" t="s">
        <v>171</v>
      </c>
      <c r="F13" s="242"/>
      <c r="G13" s="242"/>
      <c r="H13" s="93" t="s">
        <v>172</v>
      </c>
      <c r="I13" s="242" t="s">
        <v>173</v>
      </c>
      <c r="J13" s="242"/>
    </row>
    <row r="14" spans="1:10" ht="15.75" customHeight="1">
      <c r="A14" s="230" t="s">
        <v>160</v>
      </c>
      <c r="B14" s="230"/>
      <c r="C14" s="231"/>
      <c r="D14" s="231"/>
      <c r="E14" s="228">
        <v>16940000</v>
      </c>
      <c r="F14" s="228"/>
      <c r="G14" s="228"/>
      <c r="H14" s="94">
        <v>0</v>
      </c>
      <c r="I14" s="228">
        <v>16940000</v>
      </c>
      <c r="J14" s="228"/>
    </row>
    <row r="15" spans="1:10" ht="15.75" customHeight="1">
      <c r="A15" s="232"/>
      <c r="B15" s="232"/>
      <c r="C15" s="235" t="s">
        <v>234</v>
      </c>
      <c r="D15" s="235"/>
      <c r="E15" s="236">
        <v>16940000</v>
      </c>
      <c r="F15" s="236"/>
      <c r="G15" s="236"/>
      <c r="H15" s="95">
        <v>0</v>
      </c>
      <c r="I15" s="234">
        <v>16940000</v>
      </c>
      <c r="J15" s="234"/>
    </row>
    <row r="16" spans="1:11" ht="15" customHeight="1">
      <c r="A16" s="230" t="s">
        <v>174</v>
      </c>
      <c r="B16" s="230"/>
      <c r="C16" s="231" t="s">
        <v>175</v>
      </c>
      <c r="D16" s="231"/>
      <c r="E16" s="228">
        <v>174451489</v>
      </c>
      <c r="F16" s="228"/>
      <c r="G16" s="228"/>
      <c r="H16" s="94">
        <v>0</v>
      </c>
      <c r="I16" s="228">
        <v>174451489</v>
      </c>
      <c r="J16" s="228"/>
      <c r="K16" s="8">
        <f>I16/1000</f>
        <v>174451.489</v>
      </c>
    </row>
    <row r="17" spans="1:10" ht="15.75" customHeight="1">
      <c r="A17" s="232" t="s">
        <v>174</v>
      </c>
      <c r="B17" s="232"/>
      <c r="C17" s="233" t="s">
        <v>67</v>
      </c>
      <c r="D17" s="233"/>
      <c r="E17" s="234">
        <v>174451489</v>
      </c>
      <c r="F17" s="234"/>
      <c r="G17" s="234"/>
      <c r="H17" s="95">
        <v>0</v>
      </c>
      <c r="I17" s="234">
        <v>174451489</v>
      </c>
      <c r="J17" s="234"/>
    </row>
    <row r="18" spans="1:10" ht="15" customHeight="1">
      <c r="A18" s="230" t="s">
        <v>178</v>
      </c>
      <c r="B18" s="230"/>
      <c r="C18" s="231" t="s">
        <v>179</v>
      </c>
      <c r="D18" s="231"/>
      <c r="E18" s="228">
        <v>5129188253</v>
      </c>
      <c r="F18" s="228"/>
      <c r="G18" s="228"/>
      <c r="H18" s="94">
        <v>0</v>
      </c>
      <c r="I18" s="228">
        <v>5129188253</v>
      </c>
      <c r="J18" s="228"/>
    </row>
    <row r="19" spans="1:11" ht="15.75" customHeight="1">
      <c r="A19" s="232" t="s">
        <v>178</v>
      </c>
      <c r="B19" s="232"/>
      <c r="C19" s="233" t="s">
        <v>180</v>
      </c>
      <c r="D19" s="233"/>
      <c r="E19" s="234">
        <v>3882162986</v>
      </c>
      <c r="F19" s="234"/>
      <c r="G19" s="234"/>
      <c r="H19" s="95">
        <v>0</v>
      </c>
      <c r="I19" s="234">
        <v>3882162986</v>
      </c>
      <c r="J19" s="234"/>
      <c r="K19" s="8">
        <f>I19/1000</f>
        <v>3882162.986</v>
      </c>
    </row>
    <row r="20" spans="1:10" ht="15.75" customHeight="1">
      <c r="A20" s="232" t="s">
        <v>225</v>
      </c>
      <c r="B20" s="232"/>
      <c r="C20" s="233" t="s">
        <v>226</v>
      </c>
      <c r="D20" s="233"/>
      <c r="E20" s="234">
        <v>92550000</v>
      </c>
      <c r="F20" s="234"/>
      <c r="G20" s="234"/>
      <c r="H20" s="95">
        <v>0</v>
      </c>
      <c r="I20" s="234">
        <v>92550000</v>
      </c>
      <c r="J20" s="234"/>
    </row>
    <row r="21" spans="1:11" ht="16.5" customHeight="1">
      <c r="A21" s="232" t="s">
        <v>181</v>
      </c>
      <c r="B21" s="232"/>
      <c r="C21" s="233" t="s">
        <v>182</v>
      </c>
      <c r="D21" s="233"/>
      <c r="E21" s="234">
        <v>185856120</v>
      </c>
      <c r="F21" s="234"/>
      <c r="G21" s="234"/>
      <c r="H21" s="95">
        <v>0</v>
      </c>
      <c r="I21" s="234">
        <v>185856120</v>
      </c>
      <c r="J21" s="234"/>
      <c r="K21" s="8">
        <f>(I21+I22+I23+I24)/1000</f>
        <v>249808.16</v>
      </c>
    </row>
    <row r="22" spans="1:10" ht="15.75" customHeight="1">
      <c r="A22" s="232" t="s">
        <v>183</v>
      </c>
      <c r="B22" s="232"/>
      <c r="C22" s="233" t="s">
        <v>184</v>
      </c>
      <c r="D22" s="233"/>
      <c r="E22" s="234">
        <v>30976020</v>
      </c>
      <c r="F22" s="234"/>
      <c r="G22" s="234"/>
      <c r="H22" s="95">
        <v>0</v>
      </c>
      <c r="I22" s="234">
        <v>30976020</v>
      </c>
      <c r="J22" s="234"/>
    </row>
    <row r="23" spans="1:10" ht="15.75" customHeight="1">
      <c r="A23" s="232" t="s">
        <v>185</v>
      </c>
      <c r="B23" s="232"/>
      <c r="C23" s="233" t="s">
        <v>186</v>
      </c>
      <c r="D23" s="233"/>
      <c r="E23" s="234">
        <v>22650680</v>
      </c>
      <c r="F23" s="234"/>
      <c r="G23" s="234"/>
      <c r="H23" s="95">
        <v>0</v>
      </c>
      <c r="I23" s="234">
        <v>22650680</v>
      </c>
      <c r="J23" s="234"/>
    </row>
    <row r="24" spans="1:10" ht="15.75" customHeight="1">
      <c r="A24" s="232" t="s">
        <v>187</v>
      </c>
      <c r="B24" s="232"/>
      <c r="C24" s="233" t="s">
        <v>188</v>
      </c>
      <c r="D24" s="233"/>
      <c r="E24" s="234">
        <v>10325340</v>
      </c>
      <c r="F24" s="234"/>
      <c r="G24" s="234"/>
      <c r="H24" s="95">
        <v>0</v>
      </c>
      <c r="I24" s="234">
        <v>10325340</v>
      </c>
      <c r="J24" s="234"/>
    </row>
    <row r="25" spans="1:11" ht="15.75" customHeight="1">
      <c r="A25" s="232" t="s">
        <v>227</v>
      </c>
      <c r="B25" s="232"/>
      <c r="C25" s="233" t="s">
        <v>228</v>
      </c>
      <c r="D25" s="233"/>
      <c r="E25" s="234">
        <v>904667107</v>
      </c>
      <c r="F25" s="234"/>
      <c r="G25" s="234"/>
      <c r="H25" s="95">
        <v>0</v>
      </c>
      <c r="I25" s="234">
        <v>904667107</v>
      </c>
      <c r="J25" s="234"/>
      <c r="K25" s="8">
        <f>I25/1000</f>
        <v>904667.107</v>
      </c>
    </row>
    <row r="26" spans="1:11" ht="15" customHeight="1">
      <c r="A26" s="230" t="s">
        <v>189</v>
      </c>
      <c r="B26" s="230"/>
      <c r="C26" s="231" t="s">
        <v>190</v>
      </c>
      <c r="D26" s="231"/>
      <c r="E26" s="228">
        <v>668801316</v>
      </c>
      <c r="F26" s="228"/>
      <c r="G26" s="228"/>
      <c r="H26" s="94">
        <v>0</v>
      </c>
      <c r="I26" s="228">
        <v>668801316</v>
      </c>
      <c r="J26" s="228"/>
      <c r="K26" s="8">
        <f>I26/1000</f>
        <v>668801.316</v>
      </c>
    </row>
    <row r="27" spans="1:10" ht="16.5" customHeight="1">
      <c r="A27" s="232" t="s">
        <v>189</v>
      </c>
      <c r="B27" s="232"/>
      <c r="C27" s="233" t="s">
        <v>191</v>
      </c>
      <c r="D27" s="233"/>
      <c r="E27" s="234">
        <v>668801316</v>
      </c>
      <c r="F27" s="234"/>
      <c r="G27" s="234"/>
      <c r="H27" s="95">
        <v>0</v>
      </c>
      <c r="I27" s="234">
        <v>668801316</v>
      </c>
      <c r="J27" s="234"/>
    </row>
    <row r="28" spans="1:11" ht="15" customHeight="1">
      <c r="A28" s="230" t="s">
        <v>192</v>
      </c>
      <c r="B28" s="230"/>
      <c r="C28" s="231" t="s">
        <v>193</v>
      </c>
      <c r="D28" s="231"/>
      <c r="E28" s="228">
        <v>502431512</v>
      </c>
      <c r="F28" s="228"/>
      <c r="G28" s="228"/>
      <c r="H28" s="94">
        <v>0</v>
      </c>
      <c r="I28" s="228">
        <v>502431512</v>
      </c>
      <c r="J28" s="228"/>
      <c r="K28" s="8">
        <f>I28/1000</f>
        <v>502431.512</v>
      </c>
    </row>
    <row r="29" spans="1:10" ht="15.75" customHeight="1">
      <c r="A29" s="232" t="s">
        <v>196</v>
      </c>
      <c r="B29" s="232"/>
      <c r="C29" s="233" t="s">
        <v>197</v>
      </c>
      <c r="D29" s="233"/>
      <c r="E29" s="234">
        <v>192106577</v>
      </c>
      <c r="F29" s="234"/>
      <c r="G29" s="234"/>
      <c r="H29" s="95">
        <v>0</v>
      </c>
      <c r="I29" s="234">
        <v>192106577</v>
      </c>
      <c r="J29" s="234"/>
    </row>
    <row r="30" spans="1:10" ht="15.75" customHeight="1">
      <c r="A30" s="232" t="s">
        <v>198</v>
      </c>
      <c r="B30" s="232"/>
      <c r="C30" s="233" t="s">
        <v>199</v>
      </c>
      <c r="D30" s="233"/>
      <c r="E30" s="234">
        <v>310324935</v>
      </c>
      <c r="F30" s="234"/>
      <c r="G30" s="234"/>
      <c r="H30" s="95">
        <v>0</v>
      </c>
      <c r="I30" s="234">
        <v>310324935</v>
      </c>
      <c r="J30" s="234"/>
    </row>
    <row r="31" spans="1:11" ht="15" customHeight="1">
      <c r="A31" s="230" t="s">
        <v>200</v>
      </c>
      <c r="B31" s="230"/>
      <c r="C31" s="231" t="s">
        <v>201</v>
      </c>
      <c r="D31" s="231"/>
      <c r="E31" s="228">
        <v>1585817495</v>
      </c>
      <c r="F31" s="228"/>
      <c r="G31" s="228"/>
      <c r="H31" s="94">
        <v>22000</v>
      </c>
      <c r="I31" s="228">
        <v>1585795495</v>
      </c>
      <c r="J31" s="228"/>
      <c r="K31" s="8">
        <f>(I31+I20+140000)/1000</f>
        <v>1678485.495</v>
      </c>
    </row>
    <row r="32" spans="1:10" ht="15.75" customHeight="1">
      <c r="A32" s="232" t="s">
        <v>202</v>
      </c>
      <c r="B32" s="232"/>
      <c r="C32" s="233" t="s">
        <v>201</v>
      </c>
      <c r="D32" s="233"/>
      <c r="E32" s="234">
        <v>1585817495</v>
      </c>
      <c r="F32" s="234"/>
      <c r="G32" s="234"/>
      <c r="H32" s="95">
        <v>22000</v>
      </c>
      <c r="I32" s="234">
        <v>1585795495</v>
      </c>
      <c r="J32" s="234"/>
    </row>
    <row r="33" spans="1:11" ht="15.75" customHeight="1">
      <c r="A33" s="230" t="s">
        <v>203</v>
      </c>
      <c r="B33" s="230"/>
      <c r="C33" s="231" t="s">
        <v>204</v>
      </c>
      <c r="D33" s="231"/>
      <c r="E33" s="228">
        <v>9576182</v>
      </c>
      <c r="F33" s="228"/>
      <c r="G33" s="228"/>
      <c r="H33" s="94">
        <v>0</v>
      </c>
      <c r="I33" s="228">
        <v>9576182</v>
      </c>
      <c r="J33" s="228"/>
      <c r="K33" s="8">
        <f>(I33+16000000)/1000</f>
        <v>25576.182</v>
      </c>
    </row>
    <row r="34" spans="1:10" ht="15.75" customHeight="1">
      <c r="A34" s="232" t="s">
        <v>205</v>
      </c>
      <c r="B34" s="232"/>
      <c r="C34" s="233" t="s">
        <v>206</v>
      </c>
      <c r="D34" s="233"/>
      <c r="E34" s="234">
        <v>9576182</v>
      </c>
      <c r="F34" s="234"/>
      <c r="G34" s="234"/>
      <c r="H34" s="95">
        <v>0</v>
      </c>
      <c r="I34" s="234">
        <v>9576182</v>
      </c>
      <c r="J34" s="234"/>
    </row>
    <row r="35" spans="1:11" ht="15" customHeight="1">
      <c r="A35" s="230" t="s">
        <v>207</v>
      </c>
      <c r="B35" s="230"/>
      <c r="C35" s="231" t="s">
        <v>208</v>
      </c>
      <c r="D35" s="231"/>
      <c r="E35" s="228">
        <v>60115352</v>
      </c>
      <c r="F35" s="228"/>
      <c r="G35" s="228"/>
      <c r="H35" s="94">
        <v>0</v>
      </c>
      <c r="I35" s="228">
        <v>60115352</v>
      </c>
      <c r="J35" s="228"/>
      <c r="K35" s="8">
        <f>(I35+800000)/1000</f>
        <v>60915.352</v>
      </c>
    </row>
    <row r="36" spans="1:10" ht="15.75" customHeight="1">
      <c r="A36" s="232" t="s">
        <v>209</v>
      </c>
      <c r="B36" s="232"/>
      <c r="C36" s="233" t="s">
        <v>210</v>
      </c>
      <c r="D36" s="233"/>
      <c r="E36" s="234">
        <v>50910857</v>
      </c>
      <c r="F36" s="234"/>
      <c r="G36" s="234"/>
      <c r="H36" s="95">
        <v>0</v>
      </c>
      <c r="I36" s="234">
        <v>50910857</v>
      </c>
      <c r="J36" s="234"/>
    </row>
    <row r="37" spans="1:10" ht="15.75" customHeight="1">
      <c r="A37" s="232" t="s">
        <v>213</v>
      </c>
      <c r="B37" s="232"/>
      <c r="C37" s="233" t="s">
        <v>214</v>
      </c>
      <c r="D37" s="233"/>
      <c r="E37" s="234">
        <v>9204495</v>
      </c>
      <c r="F37" s="234"/>
      <c r="G37" s="234"/>
      <c r="H37" s="95">
        <v>0</v>
      </c>
      <c r="I37" s="234">
        <v>9204495</v>
      </c>
      <c r="J37" s="234"/>
    </row>
    <row r="38" spans="1:10" ht="15" customHeight="1">
      <c r="A38" s="227" t="s">
        <v>219</v>
      </c>
      <c r="B38" s="227"/>
      <c r="C38" s="227"/>
      <c r="D38" s="227"/>
      <c r="E38" s="228">
        <v>8147321599</v>
      </c>
      <c r="F38" s="228"/>
      <c r="G38" s="228"/>
      <c r="H38" s="94">
        <v>22000</v>
      </c>
      <c r="I38" s="228">
        <v>8147299599</v>
      </c>
      <c r="J38" s="228"/>
    </row>
    <row r="39" spans="1:10" ht="16.5" customHeight="1">
      <c r="A39" s="226" t="s">
        <v>220</v>
      </c>
      <c r="B39" s="226"/>
      <c r="C39" s="226"/>
      <c r="D39" s="226"/>
      <c r="E39" s="226"/>
      <c r="F39" s="226"/>
      <c r="G39" s="226"/>
      <c r="H39" s="226"/>
      <c r="I39" s="226"/>
      <c r="J39" s="226"/>
    </row>
    <row r="40" spans="1:10" ht="17.25" customHeight="1">
      <c r="A40" s="229" t="s">
        <v>221</v>
      </c>
      <c r="B40" s="229"/>
      <c r="C40" s="229"/>
      <c r="D40" s="229"/>
      <c r="E40" s="229"/>
      <c r="F40" s="229"/>
      <c r="G40" s="229" t="s">
        <v>222</v>
      </c>
      <c r="H40" s="229"/>
      <c r="I40" s="229"/>
      <c r="J40" s="229"/>
    </row>
    <row r="41" spans="1:10" ht="0.7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</row>
    <row r="42" spans="1:10" ht="17.25" customHeight="1">
      <c r="A42" s="226" t="s">
        <v>223</v>
      </c>
      <c r="B42" s="226"/>
      <c r="C42" s="226"/>
      <c r="D42" s="226"/>
      <c r="E42" s="226"/>
      <c r="F42" s="226"/>
      <c r="G42" s="226"/>
      <c r="H42" s="226"/>
      <c r="I42" s="226"/>
      <c r="J42" s="96">
        <v>1</v>
      </c>
    </row>
  </sheetData>
  <sheetProtection/>
  <mergeCells count="119">
    <mergeCell ref="A1:A2"/>
    <mergeCell ref="B1:E2"/>
    <mergeCell ref="B3:E3"/>
    <mergeCell ref="A4:J4"/>
    <mergeCell ref="A5:J5"/>
    <mergeCell ref="A6:J6"/>
    <mergeCell ref="A8:J8"/>
    <mergeCell ref="A10:J10"/>
    <mergeCell ref="A12:B12"/>
    <mergeCell ref="C12:D12"/>
    <mergeCell ref="E12:J12"/>
    <mergeCell ref="A13:B13"/>
    <mergeCell ref="C13:D13"/>
    <mergeCell ref="E13:G13"/>
    <mergeCell ref="I13:J13"/>
    <mergeCell ref="A14:B14"/>
    <mergeCell ref="C14:D14"/>
    <mergeCell ref="E14:G14"/>
    <mergeCell ref="I14:J14"/>
    <mergeCell ref="A15:B15"/>
    <mergeCell ref="C15:D15"/>
    <mergeCell ref="E15:G15"/>
    <mergeCell ref="I15:J15"/>
    <mergeCell ref="A16:B16"/>
    <mergeCell ref="C16:D16"/>
    <mergeCell ref="E16:G16"/>
    <mergeCell ref="I16:J16"/>
    <mergeCell ref="A17:B17"/>
    <mergeCell ref="C17:D17"/>
    <mergeCell ref="E17:G17"/>
    <mergeCell ref="I17:J17"/>
    <mergeCell ref="A18:B18"/>
    <mergeCell ref="C18:D18"/>
    <mergeCell ref="E18:G18"/>
    <mergeCell ref="I18:J18"/>
    <mergeCell ref="A19:B19"/>
    <mergeCell ref="C19:D19"/>
    <mergeCell ref="E19:G19"/>
    <mergeCell ref="I19:J19"/>
    <mergeCell ref="A20:B20"/>
    <mergeCell ref="C20:D20"/>
    <mergeCell ref="E20:G20"/>
    <mergeCell ref="I20:J20"/>
    <mergeCell ref="A21:B21"/>
    <mergeCell ref="C21:D21"/>
    <mergeCell ref="E21:G21"/>
    <mergeCell ref="I21:J21"/>
    <mergeCell ref="A22:B22"/>
    <mergeCell ref="C22:D22"/>
    <mergeCell ref="E22:G22"/>
    <mergeCell ref="I22:J22"/>
    <mergeCell ref="A23:B23"/>
    <mergeCell ref="C23:D23"/>
    <mergeCell ref="E23:G23"/>
    <mergeCell ref="I23:J23"/>
    <mergeCell ref="A24:B24"/>
    <mergeCell ref="C24:D24"/>
    <mergeCell ref="E24:G24"/>
    <mergeCell ref="I24:J24"/>
    <mergeCell ref="A25:B25"/>
    <mergeCell ref="C25:D25"/>
    <mergeCell ref="E25:G25"/>
    <mergeCell ref="I25:J25"/>
    <mergeCell ref="A26:B26"/>
    <mergeCell ref="C26:D26"/>
    <mergeCell ref="E26:G26"/>
    <mergeCell ref="I26:J26"/>
    <mergeCell ref="A27:B27"/>
    <mergeCell ref="C27:D27"/>
    <mergeCell ref="E27:G27"/>
    <mergeCell ref="I27:J27"/>
    <mergeCell ref="A28:B28"/>
    <mergeCell ref="C28:D28"/>
    <mergeCell ref="E28:G28"/>
    <mergeCell ref="I28:J28"/>
    <mergeCell ref="A29:B29"/>
    <mergeCell ref="C29:D29"/>
    <mergeCell ref="E29:G29"/>
    <mergeCell ref="I29:J29"/>
    <mergeCell ref="A30:B30"/>
    <mergeCell ref="C30:D30"/>
    <mergeCell ref="E30:G30"/>
    <mergeCell ref="I30:J30"/>
    <mergeCell ref="A31:B31"/>
    <mergeCell ref="C31:D31"/>
    <mergeCell ref="E31:G31"/>
    <mergeCell ref="I31:J31"/>
    <mergeCell ref="A32:B32"/>
    <mergeCell ref="C32:D32"/>
    <mergeCell ref="E32:G32"/>
    <mergeCell ref="I32:J32"/>
    <mergeCell ref="A33:B33"/>
    <mergeCell ref="C33:D33"/>
    <mergeCell ref="E33:G33"/>
    <mergeCell ref="I33:J33"/>
    <mergeCell ref="A34:B34"/>
    <mergeCell ref="C34:D34"/>
    <mergeCell ref="E34:G34"/>
    <mergeCell ref="I34:J34"/>
    <mergeCell ref="A35:B35"/>
    <mergeCell ref="C35:D35"/>
    <mergeCell ref="E35:G35"/>
    <mergeCell ref="I35:J35"/>
    <mergeCell ref="A36:B36"/>
    <mergeCell ref="C36:D36"/>
    <mergeCell ref="E36:G36"/>
    <mergeCell ref="I36:J36"/>
    <mergeCell ref="A37:B37"/>
    <mergeCell ref="C37:D37"/>
    <mergeCell ref="E37:G37"/>
    <mergeCell ref="I37:J37"/>
    <mergeCell ref="A42:I42"/>
    <mergeCell ref="A38:D38"/>
    <mergeCell ref="E38:G38"/>
    <mergeCell ref="I38:J38"/>
    <mergeCell ref="A39:J39"/>
    <mergeCell ref="A40:C40"/>
    <mergeCell ref="D40:F40"/>
    <mergeCell ref="G40:J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109MinhKhai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HongHa</dc:creator>
  <cp:keywords/>
  <dc:description/>
  <cp:lastModifiedBy>Do Thi Hai Nhu</cp:lastModifiedBy>
  <cp:lastPrinted>2018-05-10T01:29:53Z</cp:lastPrinted>
  <dcterms:created xsi:type="dcterms:W3CDTF">2006-10-11T04:21:10Z</dcterms:created>
  <dcterms:modified xsi:type="dcterms:W3CDTF">2018-05-10T01:29:58Z</dcterms:modified>
  <cp:category/>
  <cp:version/>
  <cp:contentType/>
  <cp:contentStatus/>
</cp:coreProperties>
</file>